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" activeTab="1"/>
  </bookViews>
  <sheets>
    <sheet name="信息价" sheetId="2" state="hidden" r:id="rId1"/>
    <sheet name=" 无信息价 " sheetId="3" r:id="rId2"/>
    <sheet name="独立费明细表" sheetId="5" state="hidden" r:id="rId3"/>
  </sheets>
  <definedNames>
    <definedName name="_xlnm._FilterDatabase" localSheetId="1" hidden="1">' 无信息价 '!$A$1:$F$80</definedName>
    <definedName name="_xlnm.Print_Area" localSheetId="2">独立费明细表!$A$1:$G$83</definedName>
    <definedName name="_xlnm.Print_Titles" localSheetId="2">独立费明细表!$1:$3</definedName>
    <definedName name="_xlnm.Print_Area" localSheetId="1">' 无信息价 '!$A$1:$F$80</definedName>
    <definedName name="_xlnm.Print_Titles" localSheetId="1">' 无信息价 '!$1:$3</definedName>
  </definedNames>
  <calcPr calcId="144525" concurrentCalc="0"/>
</workbook>
</file>

<file path=xl/sharedStrings.xml><?xml version="1.0" encoding="utf-8"?>
<sst xmlns="http://schemas.openxmlformats.org/spreadsheetml/2006/main" count="300">
  <si>
    <t>泰和县马市生态文化旅游特色小镇PPP项目-马市镇蜀口村滨江栈道景观工程材料采购信息价汇总表</t>
  </si>
  <si>
    <t>发包单位：江西千和旅游发展有限公司</t>
  </si>
  <si>
    <t>单位：元</t>
  </si>
  <si>
    <t>成本价</t>
  </si>
  <si>
    <t>信息价</t>
  </si>
  <si>
    <t>对上报价</t>
  </si>
  <si>
    <t>上报价</t>
  </si>
  <si>
    <t>序号</t>
  </si>
  <si>
    <t>名称</t>
  </si>
  <si>
    <t>规格</t>
  </si>
  <si>
    <t>单位</t>
  </si>
  <si>
    <t>工程量</t>
  </si>
  <si>
    <t>含税现金到场价
2019.5月</t>
  </si>
  <si>
    <t>2018.12月均价
分包参考</t>
  </si>
  <si>
    <t>含税现金到场价，分包参考</t>
  </si>
  <si>
    <t>含税信息价（含税、到货价）</t>
  </si>
  <si>
    <t>上报不含税价</t>
  </si>
  <si>
    <t>上报含税价</t>
  </si>
  <si>
    <t>招标代理价格</t>
  </si>
  <si>
    <t>税率</t>
  </si>
  <si>
    <t>备注</t>
  </si>
  <si>
    <t>合作单位/信息来源</t>
  </si>
  <si>
    <t>联系人及电话</t>
  </si>
  <si>
    <t>不含税押款市场价</t>
  </si>
  <si>
    <t>不含税市场价</t>
  </si>
  <si>
    <t>其中</t>
  </si>
  <si>
    <t>含税市场价</t>
  </si>
  <si>
    <t>含税押款市场价</t>
  </si>
  <si>
    <t>上报毛利</t>
  </si>
  <si>
    <t>平均价</t>
  </si>
  <si>
    <t>出厂价</t>
  </si>
  <si>
    <t>供应商家利润</t>
  </si>
  <si>
    <t>运杂费</t>
  </si>
  <si>
    <t>采购及保管费</t>
  </si>
  <si>
    <t>运输损耗费</t>
  </si>
  <si>
    <t>H型钢</t>
  </si>
  <si>
    <t>200*204H型钢梁</t>
  </si>
  <si>
    <t>t</t>
  </si>
  <si>
    <t>Q235/SS400，200*200*8*12，运费：50元/吨</t>
  </si>
  <si>
    <t>湖南盛世达钢材贸易有限公司</t>
  </si>
  <si>
    <t>刘地红：180 7012 3460</t>
  </si>
  <si>
    <t>钢板</t>
  </si>
  <si>
    <t>5mm厚钢板</t>
  </si>
  <si>
    <t>Q235B/SS400，5.5厚，热轧，运费：50元/吨</t>
  </si>
  <si>
    <t>角铁</t>
  </si>
  <si>
    <t>50*50</t>
  </si>
  <si>
    <t>Q235,5毫米厚，运费：50元/吨</t>
  </si>
  <si>
    <t>钢筋</t>
  </si>
  <si>
    <t>HPB400φ10</t>
  </si>
  <si>
    <t>HRB400，盘螺，运费：50元/吨</t>
  </si>
  <si>
    <t>HPB400φ14</t>
  </si>
  <si>
    <t>HRB400，运费：50元/吨</t>
  </si>
  <si>
    <t>HPB400φ16</t>
  </si>
  <si>
    <t>圆钢 8</t>
  </si>
  <si>
    <t>HPB300，圆钢，运费：50元/吨</t>
  </si>
  <si>
    <t>P32.5水泥</t>
  </si>
  <si>
    <t>480（海螺）</t>
  </si>
  <si>
    <t>南方水泥</t>
  </si>
  <si>
    <t>曾：180 0073 6669</t>
  </si>
  <si>
    <t>P42.5水泥</t>
  </si>
  <si>
    <t>530（海螺）</t>
  </si>
  <si>
    <t>商品非泵送砼</t>
  </si>
  <si>
    <t>C15</t>
  </si>
  <si>
    <t>m3</t>
  </si>
  <si>
    <t>卵石，非泵，碎石上浮30元</t>
  </si>
  <si>
    <t>江西省圣源商品混凝土有限公司</t>
  </si>
  <si>
    <t>龙承峰：136 9796 3030</t>
  </si>
  <si>
    <t>C20</t>
  </si>
  <si>
    <t>C30</t>
  </si>
  <si>
    <t>抗渗费</t>
  </si>
  <si>
    <t>普通抗渗P6:20
P8：30
纤维抗渗P6：30
P8：40</t>
  </si>
  <si>
    <t>在原基础上上浮</t>
  </si>
  <si>
    <t>泵送费</t>
  </si>
  <si>
    <t>不足50方，则500元/次</t>
  </si>
  <si>
    <t>碎石</t>
  </si>
  <si>
    <t>泰和县武溪石料厂</t>
  </si>
  <si>
    <t>廖文标：181 7065 1155</t>
  </si>
  <si>
    <t>卵石</t>
  </si>
  <si>
    <t>中粗砂</t>
  </si>
  <si>
    <t>政府采购，运费20元/吨</t>
  </si>
  <si>
    <t>泰和县马市生态文化旅游特色小镇PPP项目-马家洲纪念馆装饰工程材料品牌单</t>
  </si>
  <si>
    <t>材料名称</t>
  </si>
  <si>
    <t>品牌</t>
  </si>
  <si>
    <t>石膏板</t>
  </si>
  <si>
    <t>1.12mm厚纸面石膏板
2.详见图纸</t>
  </si>
  <si>
    <t>m2</t>
  </si>
  <si>
    <t>可耐福，龙牌，泰山及同等档次</t>
  </si>
  <si>
    <t>1.12mm厚防潮纸面石膏板
2.详见图纸</t>
  </si>
  <si>
    <t>1.9.5厚防水石膏板
2.详见图纸</t>
  </si>
  <si>
    <t>1.12mm厚双面纸面石膏板
2.详见图纸</t>
  </si>
  <si>
    <t>玻璃棉</t>
  </si>
  <si>
    <t>1.50mm厚玻璃棉（48Kg/m3）
2.详见图纸</t>
  </si>
  <si>
    <t>国产优质</t>
  </si>
  <si>
    <t>矿棉板</t>
  </si>
  <si>
    <t>1.600*600白色暗架矿棉板
2.详见图纸</t>
  </si>
  <si>
    <t>光油（清漆）</t>
  </si>
  <si>
    <t>1.光油（清漆）
2.详见图纸</t>
  </si>
  <si>
    <t>kg</t>
  </si>
  <si>
    <t>亚光清漆</t>
  </si>
  <si>
    <t>1.亚光清漆
2.详见图纸</t>
  </si>
  <si>
    <t>乳胶漆</t>
  </si>
  <si>
    <t>1.墙面批平白色乳胶漆
2.详见图纸</t>
  </si>
  <si>
    <t>立邦、多乐士、华润及同等档次</t>
  </si>
  <si>
    <t>1.防潮白色乳胶漆
2.详见图纸</t>
  </si>
  <si>
    <t>1.墙面批平浅灰色乳胶漆
2.详见图纸</t>
  </si>
  <si>
    <t>暖灰色墙纸</t>
  </si>
  <si>
    <t>1.暖灰色墙纸
2.详见图纸</t>
  </si>
  <si>
    <t>百家好，玉兰，德国艾仕及同等档次</t>
  </si>
  <si>
    <t>米黄色墙纸</t>
  </si>
  <si>
    <t>1.米黄色墙纸
2.详见图纸</t>
  </si>
  <si>
    <t>地毯</t>
  </si>
  <si>
    <t>1.500×500灰色系方块阻燃地毯（L型成品不锈钢嵌条）
2.方块地毯配套弹性胶垫层
3.详见图纸</t>
  </si>
  <si>
    <t>1.500×500深灰色系方块阻燃地毯（L型成品不锈钢嵌条）
2.方块地毯配套弹性胶垫层
3.详见图纸</t>
  </si>
  <si>
    <t>地砖地面</t>
  </si>
  <si>
    <t>1.800×800灰色系地砖地面(亚光面）
2.详见图纸</t>
  </si>
  <si>
    <t>东鹏，唯美及同等档次</t>
  </si>
  <si>
    <t>甲供材</t>
  </si>
  <si>
    <t>1.800*800灰色系地砖地面(亚光面）
2.详见图纸</t>
  </si>
  <si>
    <t>大理石</t>
  </si>
  <si>
    <t>1.20厚意大利灰大理石，机刨防滑槽（两条凹槽，尺寸5mm*5mm@20）
2.采用“防碱背涂剂”背涂处理，六面防潮处理
3.详见图纸</t>
  </si>
  <si>
    <t>进口优质</t>
  </si>
  <si>
    <t>过门石</t>
  </si>
  <si>
    <t>1.A料20mm厚中国黑花岗岩门槛石
4.详见图纸</t>
  </si>
  <si>
    <t>花岗岩</t>
  </si>
  <si>
    <t>1.A料20mm厚国产灰麻花岗岩凿毛板，机刨防滑槽（两条凹槽，尺寸5mm*5mm@20）
2.详见图纸</t>
  </si>
  <si>
    <t>1.A料80*350通长国产灰麻花岗岩毛石两端45°切角
2.详见图纸</t>
  </si>
  <si>
    <t>1.A料中国黑20厚带褂边窗台板
2.详见图纸</t>
  </si>
  <si>
    <t>m</t>
  </si>
  <si>
    <t>木地板</t>
  </si>
  <si>
    <t>1.30厚×120深棕色户外碳化竹木地板（表面刨防滑槽）
2.详见图纸</t>
  </si>
  <si>
    <t>实木复合地板</t>
  </si>
  <si>
    <t>1.15mm厚九木机拼实木复合地板，耐磨转数9000以上；
2.详见图纸</t>
  </si>
  <si>
    <t>实木地板</t>
  </si>
  <si>
    <t>1.25mm厚深棕色实木地板错拼
2.详见图纸</t>
  </si>
  <si>
    <t>墙砖</t>
  </si>
  <si>
    <t>1.300×600墙砖
2.详见图纸</t>
  </si>
  <si>
    <t>1.100*100墙砖（浅灰色光釉面）
2.详见图纸</t>
  </si>
  <si>
    <t>不锈钢踢脚</t>
  </si>
  <si>
    <t>1.80高1.2mm厚拉丝不锈钢踢脚
2.详见图纸</t>
  </si>
  <si>
    <t>304国产优质</t>
  </si>
  <si>
    <t>1.1.5mm厚10mm宽灰色镜面不锈钢踢脚
2.详见图纸</t>
  </si>
  <si>
    <t>不锈钢踢脚线</t>
  </si>
  <si>
    <t>1.1.5mm厚灰色不锈钢踢脚线
2.详见图纸</t>
  </si>
  <si>
    <t>透光膜</t>
  </si>
  <si>
    <t>1.乳白色透光膜
2.详见图纸</t>
  </si>
  <si>
    <t>防虫网</t>
  </si>
  <si>
    <t>1.钢丝防虫网
2.详见图纸</t>
  </si>
  <si>
    <t>木饰板</t>
  </si>
  <si>
    <t>1.枫木色实木皮热压板
2.详见图纸</t>
  </si>
  <si>
    <t>兔宝宝、莫干山、大亚及同等档次</t>
  </si>
  <si>
    <t>吸音板</t>
  </si>
  <si>
    <t>1.深木色条纹木心吸音板（15mm宽竖条纹）
2.防火吸音岩棉
3.详见图纸</t>
  </si>
  <si>
    <t>金属板</t>
  </si>
  <si>
    <t>铝板
1.白色烤漆金属板
3.厚度：3mm
2.详见图纸</t>
  </si>
  <si>
    <t>扪布板</t>
  </si>
  <si>
    <t>1.15mm厚米白色扪麻布扪布板
7.详见图纸</t>
  </si>
  <si>
    <t>1.15mm厚灰色麻布扪布板
2.详见图纸</t>
  </si>
  <si>
    <t>1.15mm厚灰色皮革扪皮板
7.详见图纸</t>
  </si>
  <si>
    <t>1.150高×50宽@150 1200*600灰色烤漆穿孔金属板
2.厚度：1.2mm厚背衬金属瓦楞
2.详见图纸</t>
  </si>
  <si>
    <t>防火板</t>
  </si>
  <si>
    <t>1.白底艺术防火板 定制（马家洲建筑轮廓黑白画题材）
2.详见图纸</t>
  </si>
  <si>
    <t>1.米白色防火板（15mm厚）
2.详见图纸</t>
  </si>
  <si>
    <t>墙纸板</t>
  </si>
  <si>
    <t>1.15mm厚手绘墙纸板 定制（马家洲建筑轮廓黑白画题材）
2.详见图纸</t>
  </si>
  <si>
    <t>黑白画题材</t>
  </si>
  <si>
    <t>1.马家洲建筑轮廓黑白画题材
2.详见图纸</t>
  </si>
  <si>
    <t>钢化玻璃</t>
  </si>
  <si>
    <t>1.12mm厚钢化净白玻璃背烤灰漆
2.详见图纸</t>
  </si>
  <si>
    <t>木丝水泥板</t>
  </si>
  <si>
    <t>1.定制8mm厚木丝水泥板6000*1800，留缝5mm缝
2.详见图纸</t>
  </si>
  <si>
    <t>金属格栅</t>
  </si>
  <si>
    <t>1.150mm高×50mm宽@150灰色烤漆金属格栅吊顶
2.厚度：1mm
3.详见图纸</t>
  </si>
  <si>
    <t>水泥自流平</t>
  </si>
  <si>
    <t>1.水泥自流平
2.详见图纸</t>
  </si>
  <si>
    <t>吊柜</t>
  </si>
  <si>
    <t>1.吊柜定制
2.枫木色柜体
3.详见图纸</t>
  </si>
  <si>
    <t>人造石台面吧台</t>
  </si>
  <si>
    <t>1.15mm厚白色人造石
4.详见图纸</t>
  </si>
  <si>
    <t xml:space="preserve"> 人造石台面地柜</t>
  </si>
  <si>
    <t>1.地柜定制
2.枫木色柜体
3.详见图纸</t>
  </si>
  <si>
    <t>卫生间成品隔断</t>
  </si>
  <si>
    <t>1.枫木色复合板（含五金件）
2.详见图纸</t>
  </si>
  <si>
    <t>小便斗隔断</t>
  </si>
  <si>
    <t>1.10mm厚双面玉沙玻璃，1.5灰色镜面不锈钢包边（含五金件）
2.详见图纸</t>
  </si>
  <si>
    <t>灰色不锈钢拉丝门套</t>
  </si>
  <si>
    <t>1.灰色不锈钢拉丝饰面门套
2.不锈钢厚度：1.5mm厚
3.详见图纸</t>
  </si>
  <si>
    <t>白色卵石</t>
  </si>
  <si>
    <t>1.ф50白色卵石
2.详见图纸</t>
  </si>
  <si>
    <t>成品排水沟</t>
  </si>
  <si>
    <t>1.成品混凝土排水沟槽
2.详见图纸</t>
  </si>
  <si>
    <t>不锈钢雨水篦子</t>
  </si>
  <si>
    <t>1.450mm*580mm，5mm厚不锈钢雨水篦子
2.详见图纸</t>
  </si>
  <si>
    <t>素水泥干挂板</t>
  </si>
  <si>
    <t>拉丝白钢标志</t>
  </si>
  <si>
    <t>1.字样详图纸
2.拉丝白钢标志</t>
  </si>
  <si>
    <t>组</t>
  </si>
  <si>
    <t>6mm防雾银镜</t>
  </si>
  <si>
    <t>1.化妆镜:6mm防雾银镜
2.详见图纸</t>
  </si>
  <si>
    <t>成品门头板定制</t>
  </si>
  <si>
    <t>1.表面枫木色实木皮热压
2.详见图纸</t>
  </si>
  <si>
    <t>成品防火门定制</t>
  </si>
  <si>
    <t>1.灰色防火门
2.详见图纸</t>
  </si>
  <si>
    <t>1.成品防火门定制（防火门芯，表面枫木色实木皮热压）
2.详见图纸</t>
  </si>
  <si>
    <t>成品门定制</t>
  </si>
  <si>
    <t>1.1.5mm厚不锈钢板护板
2.详见图纸</t>
  </si>
  <si>
    <t>成品门</t>
  </si>
  <si>
    <t>1.防火板（防火门芯，米白色防火门扇）
2.详见图纸</t>
  </si>
  <si>
    <t>1.15mm厚米白色皮革扪皮板
2.详见图纸</t>
  </si>
  <si>
    <t>暗门</t>
  </si>
  <si>
    <t>1.15mm厚米白色麻布们布板饰面
2.详见图纸</t>
  </si>
  <si>
    <t>1.F米白色防火板
2.详见图纸</t>
  </si>
  <si>
    <t>门头板</t>
  </si>
  <si>
    <t>1.灰色防火板
2.详见图纸</t>
  </si>
  <si>
    <t>1.15mm厚米白色皮革扪皮板，3*3鸡嘴缝拼接
2.详见图纸</t>
  </si>
  <si>
    <t>门吸</t>
  </si>
  <si>
    <t>套</t>
  </si>
  <si>
    <t>执手锁</t>
  </si>
  <si>
    <t>1.带锁芯
2.详见图纸</t>
  </si>
  <si>
    <t>1.不带锁芯
2.详见图纸</t>
  </si>
  <si>
    <t>门拉手</t>
  </si>
  <si>
    <t>1.180*1000
2.详见图纸</t>
  </si>
  <si>
    <t>1.150*600
2.详见图纸</t>
  </si>
  <si>
    <t>暗扣手门锁</t>
  </si>
  <si>
    <t>1.详见图纸</t>
  </si>
  <si>
    <t>独立费明细表</t>
  </si>
  <si>
    <t>分包综合单价</t>
  </si>
  <si>
    <t>审核后不税上报价</t>
  </si>
  <si>
    <t>一</t>
  </si>
  <si>
    <t>栈道栏杆</t>
  </si>
  <si>
    <t>菠萝格(扶手、立柱)</t>
  </si>
  <si>
    <t>菠萝格扶手弧形制作费</t>
  </si>
  <si>
    <t>菠萝格扶手立柱安装人工</t>
  </si>
  <si>
    <t>5厚U型不锈钢</t>
  </si>
  <si>
    <t>5厚U型不锈钢扶手弧形制作费</t>
  </si>
  <si>
    <t>Ø12*2不锈钢管</t>
  </si>
  <si>
    <t>镀锌钢索</t>
  </si>
  <si>
    <t>50*70方钢管</t>
  </si>
  <si>
    <t>钢管及不锈钢焊接人工</t>
  </si>
  <si>
    <t>油漆及不锈钢五金</t>
  </si>
  <si>
    <t>油漆人工</t>
  </si>
  <si>
    <t>小计</t>
  </si>
  <si>
    <t>二</t>
  </si>
  <si>
    <t>蓑衣亭栏杆一</t>
  </si>
  <si>
    <t>菠萝格</t>
  </si>
  <si>
    <t>菠萝格扶手圆形制作费</t>
  </si>
  <si>
    <t>Ø50立柱钢管：71.65元/m</t>
  </si>
  <si>
    <t>安装人工：65元/米</t>
  </si>
  <si>
    <t>5厚U型不锈钢：82.88元/m</t>
  </si>
  <si>
    <t>5厚U型不锈钢扶手弧形制作费：10元/米</t>
  </si>
  <si>
    <t>Ø25不锈钢管：110元/m（1m*4根）</t>
  </si>
  <si>
    <t>钢管及不锈钢焊接人工： 90元/米</t>
  </si>
  <si>
    <t>油漆及不锈钢五金：130元/m</t>
  </si>
  <si>
    <t xml:space="preserve">油漆人工：50元/米 </t>
  </si>
  <si>
    <t>三</t>
  </si>
  <si>
    <t>蓑衣亭栏杆二</t>
  </si>
  <si>
    <t>Ø25菠萝格防腐木圆柱：140元/m（1m*14根）</t>
  </si>
  <si>
    <t>Ø25菠萝格防腐木圆柱制作费、油漆费、安装费：220元/m</t>
  </si>
  <si>
    <t>菠萝格：188.18元/m</t>
  </si>
  <si>
    <t>菠萝格扶手圆形制作费：80元/米</t>
  </si>
  <si>
    <t>四</t>
  </si>
  <si>
    <t>蓑衣亭钢格栅</t>
  </si>
  <si>
    <t>Ø30钢管</t>
  </si>
  <si>
    <t>钢管制作及安装费</t>
  </si>
  <si>
    <t>油漆及人工费</t>
  </si>
  <si>
    <t>五</t>
  </si>
  <si>
    <t>蓑衣亭屋面</t>
  </si>
  <si>
    <t>材料</t>
  </si>
  <si>
    <t>人工</t>
  </si>
  <si>
    <t>六</t>
  </si>
  <si>
    <t>蓑衣亭塔尖</t>
  </si>
  <si>
    <t>机械</t>
  </si>
  <si>
    <t>七</t>
  </si>
  <si>
    <t>菠萝格封边</t>
  </si>
  <si>
    <t>菠萝格30厚</t>
  </si>
  <si>
    <t>菠萝格木线条收口</t>
  </si>
  <si>
    <t>人工安装及辅材</t>
  </si>
  <si>
    <t>个</t>
  </si>
  <si>
    <t>八</t>
  </si>
  <si>
    <t>防腐木地面</t>
  </si>
  <si>
    <t>2500/3000*150*50厚菠萝格防腐木板</t>
  </si>
  <si>
    <t>50*50菠萝格龙骨</t>
  </si>
  <si>
    <t>五金件</t>
  </si>
  <si>
    <t>防腐木安装人工费</t>
  </si>
  <si>
    <t>防腐木油漆材料（2遍）</t>
  </si>
  <si>
    <t>防腐木油漆人工费（2遍）</t>
  </si>
  <si>
    <t>九</t>
  </si>
  <si>
    <t>透水混凝土</t>
  </si>
  <si>
    <t>10~30mm石子</t>
  </si>
  <si>
    <t>海螺425#水泥</t>
  </si>
  <si>
    <t>色粉</t>
  </si>
  <si>
    <t>薄膜</t>
  </si>
  <si>
    <t>切缝</t>
  </si>
  <si>
    <t>胶结料</t>
  </si>
  <si>
    <t>密封剂</t>
  </si>
  <si>
    <t>喷涂透明密封剂</t>
  </si>
  <si>
    <t>人工（含夜光石拼图、
路面撒夜光石、架空桥人工送料）</t>
  </si>
  <si>
    <t>十</t>
  </si>
  <si>
    <t>荧光石路面（2CM厚满铺）</t>
  </si>
  <si>
    <t>荧光石</t>
  </si>
  <si>
    <t>胶粘石胶水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</si>
</sst>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\ * #,##0.00\ ;\ * \-#,##0.00\ ;\ * &quot;-&quot;??\ ;\ @\ "/>
    <numFmt numFmtId="178" formatCode="0.00_ "/>
    <numFmt numFmtId="179" formatCode="\ &quot;￥&quot;* #,##0\ ;\ &quot;￥&quot;* \-#,##0\ ;\ &quot;￥&quot;* &quot;-&quot;\ ;\ @\ "/>
    <numFmt numFmtId="180" formatCode="\ &quot;￥&quot;* #,##0.00\ ;\ &quot;￥&quot;* \-#,##0.00\ ;\ &quot;￥&quot;* &quot;-&quot;??\ ;\ @\ "/>
    <numFmt numFmtId="181" formatCode="\ * #,##0\ ;\ * \-#,##0\ ;\ * &quot;-&quot;\ ;\ @\ "/>
  </numFmts>
  <fonts count="38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2"/>
      <name val="宋体"/>
      <charset val="1"/>
    </font>
    <font>
      <b/>
      <sz val="14"/>
      <name val="仿宋"/>
      <charset val="1"/>
    </font>
    <font>
      <b/>
      <sz val="10"/>
      <name val="仿宋"/>
      <charset val="1"/>
    </font>
    <font>
      <b/>
      <sz val="12"/>
      <color theme="1"/>
      <name val="仿宋"/>
      <charset val="134"/>
    </font>
    <font>
      <sz val="12"/>
      <name val="仿宋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仿宋"/>
      <charset val="1"/>
    </font>
    <font>
      <sz val="11"/>
      <name val="宋体"/>
      <charset val="1"/>
    </font>
    <font>
      <b/>
      <sz val="18"/>
      <name val="宋体"/>
      <charset val="1"/>
    </font>
    <font>
      <sz val="12"/>
      <color rgb="FFFF0000"/>
      <name val="宋体"/>
      <charset val="1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"/>
    </font>
    <font>
      <u/>
      <sz val="11"/>
      <color indexed="20"/>
      <name val="宋体"/>
      <charset val="1"/>
    </font>
    <font>
      <sz val="11"/>
      <color indexed="62"/>
      <name val="宋体"/>
      <charset val="1"/>
    </font>
    <font>
      <b/>
      <sz val="11"/>
      <color indexed="54"/>
      <name val="宋体"/>
      <charset val="1"/>
    </font>
    <font>
      <sz val="11"/>
      <color indexed="17"/>
      <name val="宋体"/>
      <charset val="1"/>
    </font>
    <font>
      <b/>
      <sz val="15"/>
      <color indexed="54"/>
      <name val="宋体"/>
      <charset val="1"/>
    </font>
    <font>
      <b/>
      <sz val="11"/>
      <color indexed="9"/>
      <name val="宋体"/>
      <charset val="1"/>
    </font>
    <font>
      <b/>
      <sz val="18"/>
      <color indexed="54"/>
      <name val="宋体"/>
      <charset val="1"/>
    </font>
    <font>
      <sz val="11"/>
      <color indexed="8"/>
      <name val="宋体"/>
      <charset val="1"/>
    </font>
    <font>
      <sz val="11"/>
      <color indexed="9"/>
      <name val="宋体"/>
      <charset val="1"/>
    </font>
    <font>
      <sz val="11"/>
      <color indexed="16"/>
      <name val="宋体"/>
      <charset val="1"/>
    </font>
    <font>
      <b/>
      <sz val="11"/>
      <color indexed="8"/>
      <name val="宋体"/>
      <charset val="1"/>
    </font>
    <font>
      <b/>
      <sz val="13"/>
      <color indexed="54"/>
      <name val="宋体"/>
      <charset val="1"/>
    </font>
    <font>
      <u/>
      <sz val="11"/>
      <color indexed="12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i/>
      <sz val="11"/>
      <color indexed="23"/>
      <name val="宋体"/>
      <charset val="1"/>
    </font>
    <font>
      <sz val="11"/>
      <color indexed="10"/>
      <name val="宋体"/>
      <charset val="1"/>
    </font>
    <font>
      <b/>
      <sz val="11"/>
      <color indexed="53"/>
      <name val="宋体"/>
      <charset val="1"/>
    </font>
    <font>
      <sz val="11"/>
      <color indexed="19"/>
      <name val="宋体"/>
      <charset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179" fontId="0" fillId="0" borderId="0">
      <alignment vertical="center"/>
    </xf>
    <xf numFmtId="0" fontId="26" fillId="12" borderId="0">
      <alignment vertical="center"/>
    </xf>
    <xf numFmtId="0" fontId="20" fillId="3" borderId="15">
      <alignment vertical="center"/>
    </xf>
    <xf numFmtId="180" fontId="0" fillId="0" borderId="0">
      <alignment vertical="center"/>
    </xf>
    <xf numFmtId="181" fontId="0" fillId="0" borderId="0">
      <alignment vertical="center"/>
    </xf>
    <xf numFmtId="0" fontId="26" fillId="10" borderId="0">
      <alignment vertical="center"/>
    </xf>
    <xf numFmtId="0" fontId="28" fillId="8" borderId="0">
      <alignment vertical="center"/>
    </xf>
    <xf numFmtId="177" fontId="0" fillId="0" borderId="0">
      <alignment vertical="center"/>
    </xf>
    <xf numFmtId="0" fontId="27" fillId="10" borderId="0">
      <alignment vertical="center"/>
    </xf>
    <xf numFmtId="0" fontId="31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26" fillId="9" borderId="20">
      <alignment vertical="center"/>
    </xf>
    <xf numFmtId="0" fontId="27" fillId="3" borderId="0">
      <alignment vertical="center"/>
    </xf>
    <xf numFmtId="0" fontId="21" fillId="0" borderId="0">
      <alignment vertical="center"/>
    </xf>
    <xf numFmtId="0" fontId="35" fillId="0" borderId="0">
      <alignment vertical="center"/>
    </xf>
    <xf numFmtId="0" fontId="25" fillId="0" borderId="0">
      <alignment vertical="center"/>
    </xf>
    <xf numFmtId="0" fontId="34" fillId="0" borderId="0">
      <alignment vertical="center"/>
    </xf>
    <xf numFmtId="0" fontId="23" fillId="0" borderId="16">
      <alignment vertical="center"/>
    </xf>
    <xf numFmtId="0" fontId="30" fillId="0" borderId="16">
      <alignment vertical="center"/>
    </xf>
    <xf numFmtId="0" fontId="27" fillId="16" borderId="0">
      <alignment vertical="center"/>
    </xf>
    <xf numFmtId="0" fontId="21" fillId="0" borderId="22">
      <alignment vertical="center"/>
    </xf>
    <xf numFmtId="0" fontId="27" fillId="3" borderId="0">
      <alignment vertical="center"/>
    </xf>
    <xf numFmtId="0" fontId="33" fillId="12" borderId="21">
      <alignment vertical="center"/>
    </xf>
    <xf numFmtId="0" fontId="36" fillId="12" borderId="15">
      <alignment vertical="center"/>
    </xf>
    <xf numFmtId="0" fontId="24" fillId="5" borderId="17">
      <alignment vertical="center"/>
    </xf>
    <xf numFmtId="0" fontId="26" fillId="4" borderId="0">
      <alignment vertical="center"/>
    </xf>
    <xf numFmtId="0" fontId="27" fillId="7" borderId="0">
      <alignment vertical="center"/>
    </xf>
    <xf numFmtId="0" fontId="32" fillId="0" borderId="19">
      <alignment vertical="center"/>
    </xf>
    <xf numFmtId="0" fontId="29" fillId="0" borderId="18">
      <alignment vertical="center"/>
    </xf>
    <xf numFmtId="0" fontId="22" fillId="4" borderId="0">
      <alignment vertical="center"/>
    </xf>
    <xf numFmtId="0" fontId="37" fillId="13" borderId="0">
      <alignment vertical="center"/>
    </xf>
    <xf numFmtId="0" fontId="26" fillId="6" borderId="0">
      <alignment vertical="center"/>
    </xf>
    <xf numFmtId="0" fontId="27" fillId="19" borderId="0">
      <alignment vertical="center"/>
    </xf>
    <xf numFmtId="0" fontId="26" fillId="17" borderId="0">
      <alignment vertical="center"/>
    </xf>
    <xf numFmtId="0" fontId="26" fillId="6" borderId="0">
      <alignment vertical="center"/>
    </xf>
    <xf numFmtId="0" fontId="26" fillId="9" borderId="0">
      <alignment vertical="center"/>
    </xf>
    <xf numFmtId="0" fontId="26" fillId="3" borderId="0">
      <alignment vertical="center"/>
    </xf>
    <xf numFmtId="0" fontId="27" fillId="5" borderId="0">
      <alignment vertical="center"/>
    </xf>
    <xf numFmtId="0" fontId="27" fillId="15" borderId="0">
      <alignment vertical="center"/>
    </xf>
    <xf numFmtId="0" fontId="26" fillId="9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6" fillId="6" borderId="0">
      <alignment vertical="center"/>
    </xf>
    <xf numFmtId="0" fontId="27" fillId="18" borderId="0">
      <alignment vertical="center"/>
    </xf>
    <xf numFmtId="0" fontId="27" fillId="11" borderId="0">
      <alignment vertical="center"/>
    </xf>
    <xf numFmtId="0" fontId="26" fillId="10" borderId="0">
      <alignment vertical="center"/>
    </xf>
    <xf numFmtId="0" fontId="27" fillId="1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78" fontId="0" fillId="0" borderId="5" xfId="0" applyNumberFormat="1" applyFont="1" applyBorder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78" fontId="12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0" fillId="0" borderId="5" xfId="12" applyNumberFormat="1" applyFont="1" applyFill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0" fillId="0" borderId="5" xfId="0" applyFill="1" applyBorder="1" applyAlignment="1">
      <alignment horizontal="center" vertical="center" wrapText="1"/>
    </xf>
    <xf numFmtId="9" fontId="0" fillId="0" borderId="5" xfId="12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10" xfId="0" applyBorder="1">
      <alignment vertical="center"/>
    </xf>
    <xf numFmtId="178" fontId="0" fillId="0" borderId="5" xfId="0" applyNumberFormat="1" applyFont="1" applyBorder="1" applyAlignment="1">
      <alignment horizontal="center" vertical="center" wrapText="1"/>
    </xf>
    <xf numFmtId="178" fontId="0" fillId="0" borderId="12" xfId="0" applyNumberFormat="1" applyFont="1" applyBorder="1" applyAlignment="1">
      <alignment horizontal="center" vertical="center" wrapText="1"/>
    </xf>
    <xf numFmtId="9" fontId="0" fillId="0" borderId="5" xfId="11" applyNumberFormat="1" applyBorder="1" applyAlignment="1">
      <alignment horizontal="center" vertical="center"/>
    </xf>
    <xf numFmtId="9" fontId="0" fillId="0" borderId="5" xfId="1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5" xfId="0" applyFont="1" applyBorder="1" applyAlignment="1">
      <alignment vertical="center"/>
    </xf>
    <xf numFmtId="178" fontId="0" fillId="0" borderId="14" xfId="0" applyNumberFormat="1" applyBorder="1" applyAlignment="1">
      <alignment horizontal="center" vertical="center"/>
    </xf>
    <xf numFmtId="10" fontId="0" fillId="0" borderId="5" xfId="11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PivotStyleLight16" defaultPivot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L24"/>
  <sheetViews>
    <sheetView workbookViewId="0">
      <pane xSplit="2" ySplit="5" topLeftCell="U6" activePane="bottomRight" state="frozen"/>
      <selection/>
      <selection pane="topRight"/>
      <selection pane="bottomLeft"/>
      <selection pane="bottomRight" activeCell="W20" sqref="W20"/>
    </sheetView>
  </sheetViews>
  <sheetFormatPr defaultColWidth="8" defaultRowHeight="14.25"/>
  <cols>
    <col min="1" max="1" width="5.625" customWidth="1"/>
    <col min="2" max="3" width="16" customWidth="1"/>
    <col min="4" max="4" width="5.625" customWidth="1"/>
    <col min="5" max="5" width="9.375" customWidth="1"/>
    <col min="6" max="6" width="13.625" customWidth="1" outlineLevel="1"/>
    <col min="7" max="7" width="14.875" customWidth="1" outlineLevel="1"/>
    <col min="8" max="8" width="13.5666666666667" customWidth="1" outlineLevel="1"/>
    <col min="9" max="9" width="7.675" customWidth="1" outlineLevel="1"/>
    <col min="10" max="17" width="8.375" customWidth="1" outlineLevel="1"/>
    <col min="18" max="18" width="10.1666666666667" customWidth="1" outlineLevel="1"/>
    <col min="19" max="19" width="5.125" customWidth="1" outlineLevel="1"/>
    <col min="20" max="20" width="43.75" customWidth="1" outlineLevel="1"/>
    <col min="21" max="21" width="31.5" customWidth="1"/>
    <col min="22" max="22" width="23.75" customWidth="1"/>
    <col min="23" max="23" width="10.1666666666667" customWidth="1"/>
    <col min="24" max="24" width="10.1666666666667" customWidth="1" outlineLevel="1"/>
    <col min="25" max="25" width="7.75" customWidth="1" outlineLevel="1"/>
    <col min="26" max="26" width="7.5" customWidth="1" outlineLevel="1"/>
    <col min="27" max="27" width="7.75" customWidth="1" outlineLevel="1"/>
    <col min="28" max="29" width="14.625" customWidth="1" outlineLevel="1"/>
    <col min="30" max="30" width="9.10833333333333" style="48" customWidth="1" outlineLevel="1"/>
    <col min="31" max="31" width="9.10833333333333" style="48" customWidth="1"/>
    <col min="34" max="34" width="12.625" hidden="1" customWidth="1"/>
    <col min="37" max="38" width="12.625"/>
  </cols>
  <sheetData>
    <row r="1" ht="35" customHeight="1" spans="1:3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ht="30" customHeight="1" spans="1:33">
      <c r="A2" s="50" t="s">
        <v>1</v>
      </c>
      <c r="B2" s="50"/>
      <c r="C2" s="50"/>
      <c r="D2" s="50"/>
      <c r="E2" s="50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3" t="s">
        <v>2</v>
      </c>
      <c r="U2" s="1"/>
      <c r="V2" s="1"/>
      <c r="W2" s="1"/>
      <c r="AE2" s="78" t="s">
        <v>2</v>
      </c>
      <c r="AF2" s="78"/>
      <c r="AG2" s="78"/>
    </row>
    <row r="3" s="47" customFormat="1" outlineLevel="1" spans="1:34">
      <c r="A3" s="52"/>
      <c r="B3" s="52"/>
      <c r="C3" s="52"/>
      <c r="D3" s="52"/>
      <c r="E3" s="52"/>
      <c r="F3" s="10" t="s">
        <v>3</v>
      </c>
      <c r="G3" s="10"/>
      <c r="H3" s="10"/>
      <c r="I3" s="10" t="s">
        <v>4</v>
      </c>
      <c r="J3" s="10"/>
      <c r="K3" s="10"/>
      <c r="L3" s="10"/>
      <c r="M3" s="10"/>
      <c r="N3" s="10"/>
      <c r="O3" s="10"/>
      <c r="P3" s="10" t="s">
        <v>5</v>
      </c>
      <c r="Q3" s="10"/>
      <c r="R3" s="10"/>
      <c r="S3" s="10"/>
      <c r="T3" s="11"/>
      <c r="U3" s="11"/>
      <c r="V3" s="11"/>
      <c r="W3" s="69" t="s">
        <v>6</v>
      </c>
      <c r="X3" s="70"/>
      <c r="Y3" s="70"/>
      <c r="Z3" s="70"/>
      <c r="AA3" s="70"/>
      <c r="AB3" s="70"/>
      <c r="AC3" s="70"/>
      <c r="AD3" s="70"/>
      <c r="AE3" s="79"/>
      <c r="AF3" s="80"/>
      <c r="AG3" s="80"/>
      <c r="AH3" s="89"/>
    </row>
    <row r="4" customHeight="1" spans="1:34">
      <c r="A4" s="53" t="s">
        <v>7</v>
      </c>
      <c r="B4" s="53" t="s">
        <v>8</v>
      </c>
      <c r="C4" s="53" t="s">
        <v>9</v>
      </c>
      <c r="D4" s="53" t="s">
        <v>10</v>
      </c>
      <c r="E4" s="53" t="s">
        <v>11</v>
      </c>
      <c r="F4" s="17" t="s">
        <v>12</v>
      </c>
      <c r="G4" s="17" t="s">
        <v>13</v>
      </c>
      <c r="H4" s="17" t="s">
        <v>14</v>
      </c>
      <c r="I4" s="17" t="s">
        <v>15</v>
      </c>
      <c r="J4" s="17"/>
      <c r="K4" s="17"/>
      <c r="L4" s="17"/>
      <c r="M4" s="17"/>
      <c r="N4" s="17"/>
      <c r="O4" s="17"/>
      <c r="P4" s="17" t="s">
        <v>16</v>
      </c>
      <c r="Q4" s="17" t="s">
        <v>17</v>
      </c>
      <c r="R4" s="71" t="s">
        <v>18</v>
      </c>
      <c r="S4" s="10" t="s">
        <v>19</v>
      </c>
      <c r="T4" s="10" t="s">
        <v>20</v>
      </c>
      <c r="U4" s="56" t="s">
        <v>21</v>
      </c>
      <c r="V4" s="56" t="s">
        <v>22</v>
      </c>
      <c r="W4" s="61" t="s">
        <v>23</v>
      </c>
      <c r="X4" s="72" t="s">
        <v>24</v>
      </c>
      <c r="Y4" s="72" t="s">
        <v>25</v>
      </c>
      <c r="Z4" s="72"/>
      <c r="AA4" s="72"/>
      <c r="AB4" s="72"/>
      <c r="AC4" s="72"/>
      <c r="AD4" s="72" t="s">
        <v>26</v>
      </c>
      <c r="AE4" s="61" t="s">
        <v>27</v>
      </c>
      <c r="AF4" s="61" t="s">
        <v>19</v>
      </c>
      <c r="AG4" s="61" t="s">
        <v>20</v>
      </c>
      <c r="AH4" s="56" t="s">
        <v>28</v>
      </c>
    </row>
    <row r="5" ht="40" customHeight="1" spans="1:34">
      <c r="A5" s="54"/>
      <c r="B5" s="54"/>
      <c r="C5" s="54"/>
      <c r="D5" s="54"/>
      <c r="E5" s="54"/>
      <c r="F5" s="10"/>
      <c r="G5" s="10"/>
      <c r="H5" s="55"/>
      <c r="I5" s="65">
        <v>18.11</v>
      </c>
      <c r="J5" s="65">
        <v>18.12</v>
      </c>
      <c r="K5" s="65">
        <v>19.1</v>
      </c>
      <c r="L5" s="65">
        <v>19.2</v>
      </c>
      <c r="M5" s="65">
        <v>19.3</v>
      </c>
      <c r="N5" s="65">
        <v>19.4</v>
      </c>
      <c r="O5" s="65" t="s">
        <v>29</v>
      </c>
      <c r="P5" s="17"/>
      <c r="Q5" s="17"/>
      <c r="R5" s="71"/>
      <c r="S5" s="10"/>
      <c r="T5" s="10"/>
      <c r="U5" s="56"/>
      <c r="V5" s="56"/>
      <c r="W5" s="61"/>
      <c r="X5" s="72"/>
      <c r="Y5" s="72" t="s">
        <v>30</v>
      </c>
      <c r="Z5" s="72" t="s">
        <v>31</v>
      </c>
      <c r="AA5" s="72" t="s">
        <v>32</v>
      </c>
      <c r="AB5" s="72" t="s">
        <v>33</v>
      </c>
      <c r="AC5" s="72" t="s">
        <v>34</v>
      </c>
      <c r="AD5" s="72"/>
      <c r="AE5" s="61"/>
      <c r="AF5" s="61"/>
      <c r="AG5" s="61"/>
      <c r="AH5" s="56"/>
    </row>
    <row r="6" ht="24" customHeight="1" outlineLevel="1" spans="1:34">
      <c r="A6" s="56">
        <v>1</v>
      </c>
      <c r="B6" s="57" t="s">
        <v>35</v>
      </c>
      <c r="C6" s="56" t="s">
        <v>36</v>
      </c>
      <c r="D6" s="56" t="s">
        <v>37</v>
      </c>
      <c r="E6" s="58">
        <v>362.492</v>
      </c>
      <c r="F6" s="59">
        <v>4340</v>
      </c>
      <c r="G6" s="59">
        <v>4210</v>
      </c>
      <c r="H6" s="59">
        <v>4750</v>
      </c>
      <c r="I6" s="66">
        <v>4356</v>
      </c>
      <c r="J6" s="67">
        <v>4192</v>
      </c>
      <c r="K6" s="67">
        <v>4171.75</v>
      </c>
      <c r="L6" s="67">
        <v>4212.15</v>
      </c>
      <c r="M6" s="67">
        <v>4274.25</v>
      </c>
      <c r="N6" s="67">
        <v>4253.75</v>
      </c>
      <c r="O6" s="68">
        <f t="shared" ref="O6:O15" si="0">AVERAGE(I6:N6)</f>
        <v>4243.31666666667</v>
      </c>
      <c r="P6" s="68">
        <f>I6/1.13</f>
        <v>3854.86725663717</v>
      </c>
      <c r="Q6" s="68">
        <f t="shared" ref="Q6:Q12" si="1">I6</f>
        <v>4356</v>
      </c>
      <c r="R6" s="56">
        <v>7919.89</v>
      </c>
      <c r="S6" s="73">
        <v>0.13</v>
      </c>
      <c r="T6" s="59" t="s">
        <v>38</v>
      </c>
      <c r="U6" s="56" t="s">
        <v>39</v>
      </c>
      <c r="V6" s="56" t="s">
        <v>40</v>
      </c>
      <c r="W6" s="56"/>
      <c r="X6" s="74"/>
      <c r="Y6" s="74"/>
      <c r="Z6" s="74"/>
      <c r="AA6" s="74"/>
      <c r="AB6" s="74"/>
      <c r="AC6" s="74"/>
      <c r="AD6" s="81"/>
      <c r="AE6" s="81"/>
      <c r="AF6" s="77"/>
      <c r="AG6" s="77"/>
      <c r="AH6" s="77"/>
    </row>
    <row r="7" ht="24" customHeight="1" outlineLevel="1" spans="1:34">
      <c r="A7" s="56">
        <v>2</v>
      </c>
      <c r="B7" s="57" t="s">
        <v>41</v>
      </c>
      <c r="C7" s="56" t="s">
        <v>42</v>
      </c>
      <c r="D7" s="56" t="s">
        <v>37</v>
      </c>
      <c r="E7" s="60">
        <f>6015*39.25/1000</f>
        <v>236.08875</v>
      </c>
      <c r="F7" s="59">
        <v>4210</v>
      </c>
      <c r="G7" s="59">
        <v>4210</v>
      </c>
      <c r="H7" s="59">
        <v>4450</v>
      </c>
      <c r="I7" s="57">
        <v>4284</v>
      </c>
      <c r="J7" s="59">
        <v>4171</v>
      </c>
      <c r="K7" s="59">
        <v>4120.5</v>
      </c>
      <c r="L7" s="59">
        <v>4151.25</v>
      </c>
      <c r="M7" s="57">
        <v>4233.25</v>
      </c>
      <c r="N7" s="66">
        <v>4438.25</v>
      </c>
      <c r="O7" s="68">
        <f t="shared" si="0"/>
        <v>4233.04166666667</v>
      </c>
      <c r="P7" s="68">
        <f t="shared" ref="P7:P12" si="2">I7/1.13</f>
        <v>3791.15044247788</v>
      </c>
      <c r="Q7" s="68">
        <f t="shared" si="1"/>
        <v>4284</v>
      </c>
      <c r="R7" s="60">
        <v>4600</v>
      </c>
      <c r="S7" s="73"/>
      <c r="T7" s="59" t="s">
        <v>43</v>
      </c>
      <c r="U7" s="56" t="s">
        <v>39</v>
      </c>
      <c r="V7" s="56" t="s">
        <v>40</v>
      </c>
      <c r="W7" s="56"/>
      <c r="X7" s="74"/>
      <c r="Y7" s="74"/>
      <c r="Z7" s="74"/>
      <c r="AA7" s="74"/>
      <c r="AB7" s="74"/>
      <c r="AC7" s="74"/>
      <c r="AD7" s="81"/>
      <c r="AE7" s="81"/>
      <c r="AF7" s="77"/>
      <c r="AG7" s="77"/>
      <c r="AH7" s="77"/>
    </row>
    <row r="8" ht="24" customHeight="1" outlineLevel="1" spans="1:34">
      <c r="A8" s="56">
        <v>3</v>
      </c>
      <c r="B8" s="57" t="s">
        <v>44</v>
      </c>
      <c r="C8" s="56" t="s">
        <v>45</v>
      </c>
      <c r="D8" s="56" t="s">
        <v>37</v>
      </c>
      <c r="E8" s="58">
        <f>1842.17*8*0.05*3.77/1000</f>
        <v>2.77799236</v>
      </c>
      <c r="F8" s="59">
        <v>4470</v>
      </c>
      <c r="G8" s="59">
        <v>4560</v>
      </c>
      <c r="H8" s="59">
        <v>4980</v>
      </c>
      <c r="I8" s="57">
        <v>4780</v>
      </c>
      <c r="J8" s="57">
        <v>4540.75</v>
      </c>
      <c r="K8" s="59">
        <v>4469</v>
      </c>
      <c r="L8" s="59">
        <v>4458.75</v>
      </c>
      <c r="M8" s="59">
        <v>4469</v>
      </c>
      <c r="N8" s="67">
        <v>4499.75</v>
      </c>
      <c r="O8" s="68">
        <f t="shared" si="0"/>
        <v>4536.20833333333</v>
      </c>
      <c r="P8" s="68">
        <f t="shared" si="2"/>
        <v>4230.08849557522</v>
      </c>
      <c r="Q8" s="68">
        <f t="shared" si="1"/>
        <v>4780</v>
      </c>
      <c r="R8" s="56"/>
      <c r="S8" s="73"/>
      <c r="T8" s="59" t="s">
        <v>46</v>
      </c>
      <c r="U8" s="56" t="s">
        <v>39</v>
      </c>
      <c r="V8" s="56" t="s">
        <v>40</v>
      </c>
      <c r="W8" s="56"/>
      <c r="X8" s="74"/>
      <c r="Y8" s="74"/>
      <c r="Z8" s="74"/>
      <c r="AA8" s="74"/>
      <c r="AB8" s="74"/>
      <c r="AC8" s="74"/>
      <c r="AD8" s="81"/>
      <c r="AE8" s="81"/>
      <c r="AF8" s="77"/>
      <c r="AG8" s="77"/>
      <c r="AH8" s="77"/>
    </row>
    <row r="9" ht="24" customHeight="1" outlineLevel="1" spans="1:38">
      <c r="A9" s="56">
        <v>4</v>
      </c>
      <c r="B9" s="57" t="s">
        <v>47</v>
      </c>
      <c r="C9" s="56" t="s">
        <v>48</v>
      </c>
      <c r="D9" s="56" t="s">
        <v>37</v>
      </c>
      <c r="E9" s="60">
        <v>2.43</v>
      </c>
      <c r="F9" s="59">
        <v>4520</v>
      </c>
      <c r="G9" s="59">
        <v>4300</v>
      </c>
      <c r="H9" s="59">
        <v>4480</v>
      </c>
      <c r="I9" s="57">
        <v>4800</v>
      </c>
      <c r="J9" s="57">
        <v>4800</v>
      </c>
      <c r="K9" s="59">
        <v>4200</v>
      </c>
      <c r="L9" s="59">
        <v>4200</v>
      </c>
      <c r="M9" s="59">
        <v>4200</v>
      </c>
      <c r="N9" s="57">
        <v>4350</v>
      </c>
      <c r="O9" s="68">
        <f t="shared" si="0"/>
        <v>4425</v>
      </c>
      <c r="P9" s="68">
        <f t="shared" si="2"/>
        <v>4247.78761061947</v>
      </c>
      <c r="Q9" s="68">
        <f t="shared" si="1"/>
        <v>4800</v>
      </c>
      <c r="R9" s="56">
        <v>4800</v>
      </c>
      <c r="S9" s="73"/>
      <c r="T9" s="59" t="s">
        <v>49</v>
      </c>
      <c r="U9" s="56" t="s">
        <v>39</v>
      </c>
      <c r="V9" s="56" t="s">
        <v>40</v>
      </c>
      <c r="W9" s="56"/>
      <c r="X9" s="74"/>
      <c r="Y9" s="74"/>
      <c r="Z9" s="74"/>
      <c r="AA9" s="74"/>
      <c r="AB9" s="74"/>
      <c r="AC9" s="74"/>
      <c r="AD9" s="81"/>
      <c r="AE9" s="81"/>
      <c r="AF9" s="77"/>
      <c r="AG9" s="77"/>
      <c r="AH9" s="77"/>
      <c r="AL9">
        <v>3791.15044247788</v>
      </c>
    </row>
    <row r="10" ht="24" customHeight="1" outlineLevel="1" spans="1:34">
      <c r="A10" s="56">
        <v>5</v>
      </c>
      <c r="B10" s="57" t="s">
        <v>47</v>
      </c>
      <c r="C10" s="56" t="s">
        <v>50</v>
      </c>
      <c r="D10" s="56" t="s">
        <v>37</v>
      </c>
      <c r="E10" s="60">
        <v>21.56</v>
      </c>
      <c r="F10" s="59">
        <v>4350</v>
      </c>
      <c r="G10" s="59">
        <v>4300</v>
      </c>
      <c r="H10" s="59">
        <v>4350</v>
      </c>
      <c r="I10" s="57">
        <v>4700</v>
      </c>
      <c r="J10" s="57">
        <v>4700</v>
      </c>
      <c r="K10" s="59">
        <v>4100</v>
      </c>
      <c r="L10" s="59">
        <v>4100</v>
      </c>
      <c r="M10" s="59">
        <v>4100</v>
      </c>
      <c r="N10" s="57">
        <v>4250</v>
      </c>
      <c r="O10" s="68">
        <f t="shared" si="0"/>
        <v>4325</v>
      </c>
      <c r="P10" s="68">
        <f t="shared" si="2"/>
        <v>4159.29203539823</v>
      </c>
      <c r="Q10" s="68">
        <f t="shared" si="1"/>
        <v>4700</v>
      </c>
      <c r="R10" s="56">
        <v>4800</v>
      </c>
      <c r="S10" s="73"/>
      <c r="T10" s="59" t="s">
        <v>51</v>
      </c>
      <c r="U10" s="56" t="s">
        <v>39</v>
      </c>
      <c r="V10" s="56" t="s">
        <v>40</v>
      </c>
      <c r="W10" s="56"/>
      <c r="X10" s="74"/>
      <c r="Y10" s="74"/>
      <c r="Z10" s="74"/>
      <c r="AA10" s="74"/>
      <c r="AB10" s="74"/>
      <c r="AC10" s="74"/>
      <c r="AD10" s="81"/>
      <c r="AE10" s="81"/>
      <c r="AF10" s="77"/>
      <c r="AG10" s="77"/>
      <c r="AH10" s="77"/>
    </row>
    <row r="11" ht="24" customHeight="1" outlineLevel="1" spans="1:34">
      <c r="A11" s="56">
        <v>6</v>
      </c>
      <c r="B11" s="57" t="s">
        <v>47</v>
      </c>
      <c r="C11" s="56" t="s">
        <v>52</v>
      </c>
      <c r="D11" s="56" t="s">
        <v>37</v>
      </c>
      <c r="E11" s="60">
        <v>4.75</v>
      </c>
      <c r="F11" s="59">
        <v>4230</v>
      </c>
      <c r="G11" s="59">
        <v>4300</v>
      </c>
      <c r="H11" s="59">
        <v>4230</v>
      </c>
      <c r="I11" s="66">
        <v>4700</v>
      </c>
      <c r="J11" s="66">
        <v>4700</v>
      </c>
      <c r="K11" s="67">
        <v>4100</v>
      </c>
      <c r="L11" s="67">
        <v>4100</v>
      </c>
      <c r="M11" s="67">
        <v>4100</v>
      </c>
      <c r="N11" s="66">
        <v>4200</v>
      </c>
      <c r="O11" s="68">
        <f t="shared" si="0"/>
        <v>4316.66666666667</v>
      </c>
      <c r="P11" s="68">
        <f t="shared" si="2"/>
        <v>4159.29203539823</v>
      </c>
      <c r="Q11" s="68">
        <f t="shared" si="1"/>
        <v>4700</v>
      </c>
      <c r="R11" s="56">
        <v>4800</v>
      </c>
      <c r="S11" s="73"/>
      <c r="T11" s="59" t="s">
        <v>51</v>
      </c>
      <c r="U11" s="56" t="s">
        <v>39</v>
      </c>
      <c r="V11" s="56" t="s">
        <v>40</v>
      </c>
      <c r="W11" s="56"/>
      <c r="X11" s="74"/>
      <c r="Y11" s="74"/>
      <c r="Z11" s="74"/>
      <c r="AA11" s="74"/>
      <c r="AB11" s="74"/>
      <c r="AC11" s="74"/>
      <c r="AD11" s="81"/>
      <c r="AE11" s="81"/>
      <c r="AF11" s="77"/>
      <c r="AG11" s="77"/>
      <c r="AH11" s="77"/>
    </row>
    <row r="12" ht="24" customHeight="1" outlineLevel="1" spans="1:34">
      <c r="A12" s="56">
        <v>7</v>
      </c>
      <c r="B12" s="57" t="s">
        <v>47</v>
      </c>
      <c r="C12" s="56" t="s">
        <v>53</v>
      </c>
      <c r="D12" s="56" t="s">
        <v>37</v>
      </c>
      <c r="E12" s="60">
        <v>60.8</v>
      </c>
      <c r="F12" s="59">
        <v>4470</v>
      </c>
      <c r="G12" s="59">
        <v>4300</v>
      </c>
      <c r="H12" s="59">
        <v>4480</v>
      </c>
      <c r="I12" s="66">
        <v>4800</v>
      </c>
      <c r="J12" s="66">
        <v>4800</v>
      </c>
      <c r="K12" s="67">
        <v>4200</v>
      </c>
      <c r="L12" s="67">
        <v>4200</v>
      </c>
      <c r="M12" s="67">
        <v>4200</v>
      </c>
      <c r="N12" s="66">
        <v>4350</v>
      </c>
      <c r="O12" s="68">
        <f t="shared" si="0"/>
        <v>4425</v>
      </c>
      <c r="P12" s="68">
        <f t="shared" si="2"/>
        <v>4247.78761061947</v>
      </c>
      <c r="Q12" s="68">
        <f t="shared" si="1"/>
        <v>4800</v>
      </c>
      <c r="R12" s="56">
        <v>4800</v>
      </c>
      <c r="S12" s="73"/>
      <c r="T12" s="59" t="s">
        <v>54</v>
      </c>
      <c r="U12" s="56" t="s">
        <v>39</v>
      </c>
      <c r="V12" s="56" t="s">
        <v>40</v>
      </c>
      <c r="W12" s="56"/>
      <c r="X12" s="74"/>
      <c r="Y12" s="74"/>
      <c r="Z12" s="74"/>
      <c r="AA12" s="74"/>
      <c r="AB12" s="74"/>
      <c r="AC12" s="74"/>
      <c r="AD12" s="81"/>
      <c r="AE12" s="81"/>
      <c r="AF12" s="77"/>
      <c r="AG12" s="77"/>
      <c r="AH12" s="77"/>
    </row>
    <row r="13" ht="24" customHeight="1" outlineLevel="1" spans="1:34">
      <c r="A13" s="56">
        <v>8</v>
      </c>
      <c r="B13" s="56" t="s">
        <v>55</v>
      </c>
      <c r="C13" s="56"/>
      <c r="D13" s="56" t="s">
        <v>37</v>
      </c>
      <c r="E13" s="60">
        <v>7.26</v>
      </c>
      <c r="F13" s="59">
        <v>410</v>
      </c>
      <c r="G13" s="59" t="s">
        <v>56</v>
      </c>
      <c r="H13" s="59">
        <v>470</v>
      </c>
      <c r="I13" s="67">
        <v>530</v>
      </c>
      <c r="J13" s="66">
        <v>590</v>
      </c>
      <c r="K13" s="66">
        <v>570</v>
      </c>
      <c r="L13" s="67">
        <v>510</v>
      </c>
      <c r="M13" s="67">
        <v>480</v>
      </c>
      <c r="N13" s="67">
        <v>440</v>
      </c>
      <c r="O13" s="68">
        <f t="shared" si="0"/>
        <v>520</v>
      </c>
      <c r="P13" s="68">
        <f>J13/1.13</f>
        <v>522.12389380531</v>
      </c>
      <c r="Q13" s="68">
        <f>J13</f>
        <v>590</v>
      </c>
      <c r="R13" s="56">
        <v>530</v>
      </c>
      <c r="S13" s="73"/>
      <c r="T13" s="75" t="s">
        <v>57</v>
      </c>
      <c r="U13" s="56"/>
      <c r="V13" s="56" t="s">
        <v>58</v>
      </c>
      <c r="W13" s="56"/>
      <c r="X13" s="74"/>
      <c r="Y13" s="74"/>
      <c r="Z13" s="74"/>
      <c r="AA13" s="74"/>
      <c r="AB13" s="74"/>
      <c r="AC13" s="74"/>
      <c r="AD13" s="81"/>
      <c r="AE13" s="81"/>
      <c r="AF13" s="77"/>
      <c r="AG13" s="77"/>
      <c r="AH13" s="77"/>
    </row>
    <row r="14" ht="24" customHeight="1" outlineLevel="1" spans="1:34">
      <c r="A14" s="56">
        <v>9</v>
      </c>
      <c r="B14" s="56" t="s">
        <v>59</v>
      </c>
      <c r="C14" s="56"/>
      <c r="D14" s="56" t="s">
        <v>37</v>
      </c>
      <c r="E14" s="60">
        <v>245.27</v>
      </c>
      <c r="F14" s="59">
        <v>490</v>
      </c>
      <c r="G14" s="59" t="s">
        <v>60</v>
      </c>
      <c r="H14" s="59">
        <v>510</v>
      </c>
      <c r="I14" s="67">
        <v>550</v>
      </c>
      <c r="J14" s="66">
        <v>600</v>
      </c>
      <c r="K14" s="66">
        <v>580</v>
      </c>
      <c r="L14" s="67">
        <v>530</v>
      </c>
      <c r="M14" s="67">
        <v>500</v>
      </c>
      <c r="N14" s="67">
        <v>460</v>
      </c>
      <c r="O14" s="68">
        <f t="shared" si="0"/>
        <v>536.666666666667</v>
      </c>
      <c r="P14" s="68">
        <f>J14/1.13</f>
        <v>530.973451327434</v>
      </c>
      <c r="Q14" s="68">
        <f>J14</f>
        <v>600</v>
      </c>
      <c r="R14" s="56">
        <v>530</v>
      </c>
      <c r="S14" s="73"/>
      <c r="T14" s="75"/>
      <c r="U14" s="56"/>
      <c r="V14" s="56" t="s">
        <v>58</v>
      </c>
      <c r="W14" s="56"/>
      <c r="X14" s="74"/>
      <c r="Y14" s="74"/>
      <c r="Z14" s="74"/>
      <c r="AA14" s="74"/>
      <c r="AB14" s="74"/>
      <c r="AC14" s="74"/>
      <c r="AD14" s="81"/>
      <c r="AE14" s="81"/>
      <c r="AF14" s="77"/>
      <c r="AG14" s="77"/>
      <c r="AH14" s="77"/>
    </row>
    <row r="15" ht="24" customHeight="1" outlineLevel="1" spans="1:34">
      <c r="A15" s="56">
        <v>12</v>
      </c>
      <c r="B15" s="56" t="s">
        <v>61</v>
      </c>
      <c r="C15" s="56" t="s">
        <v>62</v>
      </c>
      <c r="D15" s="56" t="s">
        <v>63</v>
      </c>
      <c r="E15" s="60">
        <v>115</v>
      </c>
      <c r="F15" s="56">
        <v>390</v>
      </c>
      <c r="G15" s="56"/>
      <c r="H15" s="56">
        <v>415</v>
      </c>
      <c r="I15" s="66">
        <v>400</v>
      </c>
      <c r="J15" s="66">
        <v>400</v>
      </c>
      <c r="K15" s="67">
        <v>380</v>
      </c>
      <c r="L15" s="67">
        <v>380</v>
      </c>
      <c r="M15" s="67">
        <v>380</v>
      </c>
      <c r="N15" s="66">
        <v>410</v>
      </c>
      <c r="O15" s="68">
        <f t="shared" ref="O15:O22" si="3">AVERAGE(I15:N15)</f>
        <v>391.666666666667</v>
      </c>
      <c r="P15" s="68">
        <f t="shared" ref="P15:P20" si="4">I15/1.03</f>
        <v>388.349514563107</v>
      </c>
      <c r="Q15" s="68">
        <f>I15</f>
        <v>400</v>
      </c>
      <c r="R15" s="56">
        <v>430</v>
      </c>
      <c r="S15" s="76">
        <v>0.03</v>
      </c>
      <c r="T15" s="61" t="s">
        <v>64</v>
      </c>
      <c r="U15" s="56" t="s">
        <v>65</v>
      </c>
      <c r="V15" s="56" t="s">
        <v>66</v>
      </c>
      <c r="W15" s="56"/>
      <c r="X15" s="74"/>
      <c r="Y15" s="74"/>
      <c r="Z15" s="74"/>
      <c r="AA15" s="74"/>
      <c r="AB15" s="74"/>
      <c r="AC15" s="74"/>
      <c r="AD15" s="81"/>
      <c r="AE15" s="81"/>
      <c r="AF15" s="77"/>
      <c r="AG15" s="77"/>
      <c r="AH15" s="77"/>
    </row>
    <row r="16" ht="24" customHeight="1" outlineLevel="1" spans="1:34">
      <c r="A16" s="56">
        <v>13</v>
      </c>
      <c r="B16" s="56" t="s">
        <v>61</v>
      </c>
      <c r="C16" s="56" t="s">
        <v>67</v>
      </c>
      <c r="D16" s="56" t="s">
        <v>63</v>
      </c>
      <c r="E16" s="60">
        <v>60.73</v>
      </c>
      <c r="F16" s="56">
        <v>400</v>
      </c>
      <c r="G16" s="56"/>
      <c r="H16" s="56">
        <v>420</v>
      </c>
      <c r="I16" s="66">
        <v>410</v>
      </c>
      <c r="J16" s="66">
        <v>410</v>
      </c>
      <c r="K16" s="67">
        <v>390</v>
      </c>
      <c r="L16" s="67">
        <v>390</v>
      </c>
      <c r="M16" s="67">
        <v>390</v>
      </c>
      <c r="N16" s="66">
        <v>420</v>
      </c>
      <c r="O16" s="68">
        <f t="shared" si="3"/>
        <v>401.666666666667</v>
      </c>
      <c r="P16" s="68">
        <f t="shared" si="4"/>
        <v>398.058252427184</v>
      </c>
      <c r="Q16" s="68">
        <f>I16</f>
        <v>410</v>
      </c>
      <c r="R16" s="56">
        <v>440</v>
      </c>
      <c r="S16" s="76"/>
      <c r="T16" s="61" t="s">
        <v>64</v>
      </c>
      <c r="U16" s="56" t="s">
        <v>65</v>
      </c>
      <c r="V16" s="56" t="s">
        <v>66</v>
      </c>
      <c r="W16" s="56"/>
      <c r="X16" s="74"/>
      <c r="Y16" s="74"/>
      <c r="Z16" s="74"/>
      <c r="AA16" s="74"/>
      <c r="AB16" s="74"/>
      <c r="AC16" s="74"/>
      <c r="AD16" s="81"/>
      <c r="AE16" s="81"/>
      <c r="AF16" s="77"/>
      <c r="AG16" s="77"/>
      <c r="AH16" s="77"/>
    </row>
    <row r="17" ht="24" customHeight="1" outlineLevel="1" spans="1:34">
      <c r="A17" s="56">
        <v>14</v>
      </c>
      <c r="B17" s="56" t="s">
        <v>61</v>
      </c>
      <c r="C17" s="56" t="s">
        <v>68</v>
      </c>
      <c r="D17" s="56" t="s">
        <v>63</v>
      </c>
      <c r="E17" s="60">
        <v>1978</v>
      </c>
      <c r="F17" s="56">
        <v>420</v>
      </c>
      <c r="G17" s="56"/>
      <c r="H17" s="56">
        <v>425</v>
      </c>
      <c r="I17" s="66">
        <v>460</v>
      </c>
      <c r="J17" s="66">
        <v>460</v>
      </c>
      <c r="K17" s="67">
        <v>440</v>
      </c>
      <c r="L17" s="67">
        <v>440</v>
      </c>
      <c r="M17" s="67">
        <v>440</v>
      </c>
      <c r="N17" s="67">
        <v>440</v>
      </c>
      <c r="O17" s="68">
        <f t="shared" si="3"/>
        <v>446.666666666667</v>
      </c>
      <c r="P17" s="68">
        <f t="shared" si="4"/>
        <v>446.601941747573</v>
      </c>
      <c r="Q17" s="68">
        <f>I17</f>
        <v>460</v>
      </c>
      <c r="R17" s="56">
        <v>460</v>
      </c>
      <c r="S17" s="76"/>
      <c r="T17" s="61" t="s">
        <v>64</v>
      </c>
      <c r="U17" s="56" t="s">
        <v>65</v>
      </c>
      <c r="V17" s="56" t="s">
        <v>66</v>
      </c>
      <c r="W17" s="56"/>
      <c r="X17" s="74"/>
      <c r="Y17" s="74"/>
      <c r="Z17" s="74"/>
      <c r="AA17" s="74"/>
      <c r="AB17" s="74"/>
      <c r="AC17" s="74"/>
      <c r="AD17" s="81"/>
      <c r="AE17" s="81"/>
      <c r="AF17" s="77"/>
      <c r="AG17" s="77"/>
      <c r="AH17" s="77"/>
    </row>
    <row r="18" ht="96" customHeight="1" outlineLevel="1" spans="1:34">
      <c r="A18" s="56">
        <v>15</v>
      </c>
      <c r="B18" s="59" t="s">
        <v>69</v>
      </c>
      <c r="C18" s="56"/>
      <c r="D18" s="56" t="s">
        <v>63</v>
      </c>
      <c r="E18" s="60">
        <v>1246</v>
      </c>
      <c r="F18" s="61" t="s">
        <v>70</v>
      </c>
      <c r="G18" s="61"/>
      <c r="H18" s="61" t="s">
        <v>70</v>
      </c>
      <c r="I18" s="67">
        <v>20</v>
      </c>
      <c r="J18" s="67">
        <v>20</v>
      </c>
      <c r="K18" s="67">
        <v>20</v>
      </c>
      <c r="L18" s="67">
        <v>20</v>
      </c>
      <c r="M18" s="67">
        <v>20</v>
      </c>
      <c r="N18" s="67">
        <v>20</v>
      </c>
      <c r="O18" s="68">
        <f t="shared" si="3"/>
        <v>20</v>
      </c>
      <c r="P18" s="68">
        <f t="shared" si="4"/>
        <v>19.4174757281553</v>
      </c>
      <c r="Q18" s="68">
        <v>20</v>
      </c>
      <c r="R18" s="56"/>
      <c r="S18" s="76"/>
      <c r="T18" s="61" t="s">
        <v>71</v>
      </c>
      <c r="U18" s="56" t="s">
        <v>65</v>
      </c>
      <c r="V18" s="56" t="s">
        <v>66</v>
      </c>
      <c r="W18" s="56"/>
      <c r="X18" s="74"/>
      <c r="Y18" s="74"/>
      <c r="Z18" s="74"/>
      <c r="AA18" s="74"/>
      <c r="AB18" s="74"/>
      <c r="AC18" s="74"/>
      <c r="AD18" s="81"/>
      <c r="AE18" s="81"/>
      <c r="AF18" s="77"/>
      <c r="AG18" s="77"/>
      <c r="AH18" s="77"/>
    </row>
    <row r="19" ht="24" customHeight="1" outlineLevel="1" spans="1:34">
      <c r="A19" s="56">
        <v>16</v>
      </c>
      <c r="B19" s="59" t="s">
        <v>72</v>
      </c>
      <c r="C19" s="56"/>
      <c r="D19" s="56" t="s">
        <v>63</v>
      </c>
      <c r="E19" s="60">
        <v>2153</v>
      </c>
      <c r="F19" s="56">
        <v>10</v>
      </c>
      <c r="G19" s="56"/>
      <c r="H19" s="56">
        <v>10</v>
      </c>
      <c r="I19" s="67">
        <v>20</v>
      </c>
      <c r="J19" s="67">
        <v>20</v>
      </c>
      <c r="K19" s="67">
        <v>20</v>
      </c>
      <c r="L19" s="67">
        <v>20</v>
      </c>
      <c r="M19" s="67">
        <v>20</v>
      </c>
      <c r="N19" s="67">
        <v>20</v>
      </c>
      <c r="O19" s="68">
        <f t="shared" si="3"/>
        <v>20</v>
      </c>
      <c r="P19" s="68">
        <f t="shared" si="4"/>
        <v>19.4174757281553</v>
      </c>
      <c r="Q19" s="68">
        <v>20</v>
      </c>
      <c r="R19" s="56"/>
      <c r="S19" s="76"/>
      <c r="T19" s="61" t="s">
        <v>73</v>
      </c>
      <c r="U19" s="56" t="s">
        <v>65</v>
      </c>
      <c r="V19" s="56" t="s">
        <v>66</v>
      </c>
      <c r="W19" s="56"/>
      <c r="X19" s="74"/>
      <c r="Y19" s="74"/>
      <c r="Z19" s="74"/>
      <c r="AA19" s="74"/>
      <c r="AB19" s="74"/>
      <c r="AC19" s="74"/>
      <c r="AD19" s="81"/>
      <c r="AE19" s="81"/>
      <c r="AF19" s="82"/>
      <c r="AG19" s="77"/>
      <c r="AH19" s="77"/>
    </row>
    <row r="20" ht="24" customHeight="1" spans="1:34">
      <c r="A20" s="62">
        <v>1</v>
      </c>
      <c r="B20" s="63" t="s">
        <v>74</v>
      </c>
      <c r="C20" s="56"/>
      <c r="D20" s="56" t="s">
        <v>63</v>
      </c>
      <c r="E20" s="60">
        <v>820</v>
      </c>
      <c r="F20" s="56">
        <f>70*1.5</f>
        <v>105</v>
      </c>
      <c r="G20" s="56"/>
      <c r="H20" s="56">
        <f>68*1.5</f>
        <v>102</v>
      </c>
      <c r="I20" s="67">
        <v>70</v>
      </c>
      <c r="J20" s="67">
        <v>70</v>
      </c>
      <c r="K20" s="67">
        <v>70</v>
      </c>
      <c r="L20" s="67">
        <v>70</v>
      </c>
      <c r="M20" s="67">
        <v>70</v>
      </c>
      <c r="N20" s="67">
        <v>67.5</v>
      </c>
      <c r="O20" s="68">
        <f t="shared" si="3"/>
        <v>69.5833333333333</v>
      </c>
      <c r="P20" s="68"/>
      <c r="Q20" s="68"/>
      <c r="R20" s="56">
        <v>70</v>
      </c>
      <c r="S20" s="76"/>
      <c r="T20" s="61"/>
      <c r="U20" s="56" t="s">
        <v>75</v>
      </c>
      <c r="V20" s="56" t="s">
        <v>76</v>
      </c>
      <c r="W20" s="60">
        <f>X20*1.043</f>
        <v>118.3437864</v>
      </c>
      <c r="X20" s="15">
        <f>Y20+Z20+AA20+AB20+AC20</f>
        <v>113.4648</v>
      </c>
      <c r="Y20" s="15">
        <f>60*1.5</f>
        <v>90</v>
      </c>
      <c r="Z20" s="15"/>
      <c r="AA20" s="15">
        <f>450/37.5*1.5</f>
        <v>18</v>
      </c>
      <c r="AB20" s="15">
        <f>(Y20+Z20+AA20)*0.03</f>
        <v>3.24</v>
      </c>
      <c r="AC20" s="15">
        <f>(Y20+Z20+AA20+AB20)*0.02</f>
        <v>2.2248</v>
      </c>
      <c r="AD20" s="83">
        <f>X20*1.03</f>
        <v>116.868744</v>
      </c>
      <c r="AE20" s="84">
        <f>W20*1.03</f>
        <v>121.894099992</v>
      </c>
      <c r="AF20" s="85">
        <v>0.03</v>
      </c>
      <c r="AG20" s="90"/>
      <c r="AH20" s="91">
        <f>1-F20/AD20</f>
        <v>0.101556186827849</v>
      </c>
    </row>
    <row r="21" ht="39" customHeight="1" outlineLevel="1" spans="1:34">
      <c r="A21" s="56">
        <v>18</v>
      </c>
      <c r="B21" s="64" t="s">
        <v>77</v>
      </c>
      <c r="C21" s="56"/>
      <c r="D21" s="56" t="s">
        <v>63</v>
      </c>
      <c r="E21" s="60">
        <v>43</v>
      </c>
      <c r="F21" s="56">
        <f>48*1.5</f>
        <v>72</v>
      </c>
      <c r="G21" s="56"/>
      <c r="H21" s="56">
        <f>48*1.5</f>
        <v>72</v>
      </c>
      <c r="I21" s="67">
        <v>70</v>
      </c>
      <c r="J21" s="67">
        <v>70</v>
      </c>
      <c r="K21" s="67">
        <v>70</v>
      </c>
      <c r="L21" s="67">
        <v>70</v>
      </c>
      <c r="M21" s="67">
        <v>70</v>
      </c>
      <c r="N21" s="67">
        <v>67.5</v>
      </c>
      <c r="O21" s="68">
        <f t="shared" si="3"/>
        <v>69.5833333333333</v>
      </c>
      <c r="P21" s="68">
        <f>I21/1.03</f>
        <v>67.9611650485437</v>
      </c>
      <c r="Q21" s="68">
        <v>70</v>
      </c>
      <c r="R21" s="56">
        <v>70</v>
      </c>
      <c r="S21" s="76"/>
      <c r="T21" s="61"/>
      <c r="U21" s="56" t="s">
        <v>75</v>
      </c>
      <c r="V21" s="56" t="s">
        <v>76</v>
      </c>
      <c r="W21" s="60"/>
      <c r="X21" s="15"/>
      <c r="Y21" s="15"/>
      <c r="Z21" s="15"/>
      <c r="AA21" s="15"/>
      <c r="AB21" s="15"/>
      <c r="AC21" s="15"/>
      <c r="AD21" s="83"/>
      <c r="AE21" s="84"/>
      <c r="AF21" s="86"/>
      <c r="AG21" s="90"/>
      <c r="AH21" s="91"/>
    </row>
    <row r="22" ht="39" customHeight="1" spans="1:34">
      <c r="A22" s="62">
        <v>2</v>
      </c>
      <c r="B22" s="63" t="s">
        <v>78</v>
      </c>
      <c r="C22" s="56"/>
      <c r="D22" s="56" t="s">
        <v>63</v>
      </c>
      <c r="E22" s="60">
        <v>350</v>
      </c>
      <c r="F22" s="56">
        <f>83*1.5</f>
        <v>124.5</v>
      </c>
      <c r="G22" s="56"/>
      <c r="H22" s="56">
        <f>83*1.5</f>
        <v>124.5</v>
      </c>
      <c r="I22" s="67">
        <v>90</v>
      </c>
      <c r="J22" s="67">
        <v>90</v>
      </c>
      <c r="K22" s="67">
        <v>90</v>
      </c>
      <c r="L22" s="67">
        <v>90</v>
      </c>
      <c r="M22" s="67">
        <v>90</v>
      </c>
      <c r="N22" s="66">
        <v>105</v>
      </c>
      <c r="O22" s="68">
        <f t="shared" si="3"/>
        <v>92.5</v>
      </c>
      <c r="P22" s="68"/>
      <c r="Q22" s="68"/>
      <c r="R22" s="56">
        <v>90</v>
      </c>
      <c r="S22" s="76"/>
      <c r="T22" s="61" t="s">
        <v>79</v>
      </c>
      <c r="U22" s="56" t="s">
        <v>75</v>
      </c>
      <c r="V22" s="56" t="s">
        <v>76</v>
      </c>
      <c r="W22" s="60">
        <f>X22</f>
        <v>137.83872</v>
      </c>
      <c r="X22" s="15">
        <f>Y22+Z22+AA22+AB22+AC22</f>
        <v>137.83872</v>
      </c>
      <c r="Y22" s="15">
        <f>60*1.6</f>
        <v>96</v>
      </c>
      <c r="Z22" s="15"/>
      <c r="AA22" s="15">
        <f>300/15*1.6*1.1</f>
        <v>35.2</v>
      </c>
      <c r="AB22" s="15">
        <f>(Y22+Z22+AA22)*0.03</f>
        <v>3.936</v>
      </c>
      <c r="AC22" s="15">
        <f>(Y22+Z22+AA22+AB22)*0.02</f>
        <v>2.70272</v>
      </c>
      <c r="AD22" s="83">
        <f>X22*1.03</f>
        <v>141.9738816</v>
      </c>
      <c r="AE22" s="84">
        <f>W22*1.03</f>
        <v>141.9738816</v>
      </c>
      <c r="AF22" s="85">
        <v>0.03</v>
      </c>
      <c r="AG22" s="90"/>
      <c r="AH22" s="91">
        <f>1-F22/AD22</f>
        <v>0.123078142282756</v>
      </c>
    </row>
    <row r="23" ht="24" customHeight="1" spans="1:34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77"/>
      <c r="Y23" s="77"/>
      <c r="Z23" s="77"/>
      <c r="AA23" s="77"/>
      <c r="AB23" s="77"/>
      <c r="AC23" s="77"/>
      <c r="AD23" s="87"/>
      <c r="AE23" s="87"/>
      <c r="AF23" s="88"/>
      <c r="AG23" s="77"/>
      <c r="AH23" s="77"/>
    </row>
    <row r="24" ht="24" customHeight="1" spans="1:3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77"/>
      <c r="Y24" s="77"/>
      <c r="Z24" s="77"/>
      <c r="AA24" s="77"/>
      <c r="AB24" s="77"/>
      <c r="AC24" s="77"/>
      <c r="AD24" s="87"/>
      <c r="AE24" s="87"/>
      <c r="AF24" s="77"/>
      <c r="AG24" s="77"/>
      <c r="AH24" s="77"/>
    </row>
  </sheetData>
  <mergeCells count="34">
    <mergeCell ref="A1:AG1"/>
    <mergeCell ref="A2:E2"/>
    <mergeCell ref="AE2:AG2"/>
    <mergeCell ref="F3:H3"/>
    <mergeCell ref="I3:O3"/>
    <mergeCell ref="P3:R3"/>
    <mergeCell ref="W3:AE3"/>
    <mergeCell ref="I4:O4"/>
    <mergeCell ref="Y4:AC4"/>
    <mergeCell ref="A4:A5"/>
    <mergeCell ref="B4:B5"/>
    <mergeCell ref="C4:C5"/>
    <mergeCell ref="D4:D5"/>
    <mergeCell ref="E4:E5"/>
    <mergeCell ref="F4:F5"/>
    <mergeCell ref="G4:G5"/>
    <mergeCell ref="H4:H5"/>
    <mergeCell ref="P4:P5"/>
    <mergeCell ref="Q4:Q5"/>
    <mergeCell ref="R4:R5"/>
    <mergeCell ref="S4:S5"/>
    <mergeCell ref="S6:S14"/>
    <mergeCell ref="S15:S22"/>
    <mergeCell ref="T4:T5"/>
    <mergeCell ref="T13:T14"/>
    <mergeCell ref="U4:U5"/>
    <mergeCell ref="V4:V5"/>
    <mergeCell ref="W4:W5"/>
    <mergeCell ref="X4:X5"/>
    <mergeCell ref="AD4:AD5"/>
    <mergeCell ref="AE4:AE5"/>
    <mergeCell ref="AF4:AF5"/>
    <mergeCell ref="AG4:AG5"/>
    <mergeCell ref="AH4:AH5"/>
  </mergeCells>
  <pageMargins left="0.0777777777777778" right="0.0388888888888889" top="0.15625" bottom="0.118055555555556" header="0.0777777777777778" footer="0.0777777777777778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0"/>
  <sheetViews>
    <sheetView tabSelected="1" view="pageBreakPreview" zoomScale="85" zoomScaleNormal="70" zoomScaleSheetLayoutView="85" workbookViewId="0">
      <pane xSplit="2" ySplit="3" topLeftCell="C4" activePane="bottomRight" state="frozen"/>
      <selection/>
      <selection pane="topRight"/>
      <selection pane="bottomLeft"/>
      <selection pane="bottomRight" activeCell="J79" sqref="J79"/>
    </sheetView>
  </sheetViews>
  <sheetFormatPr defaultColWidth="8" defaultRowHeight="14.25" outlineLevelCol="5"/>
  <cols>
    <col min="1" max="1" width="5.625" style="23" customWidth="1"/>
    <col min="2" max="2" width="23.125" style="23" customWidth="1"/>
    <col min="3" max="3" width="45.7333333333333" style="23" customWidth="1"/>
    <col min="4" max="4" width="4.875" style="23" customWidth="1"/>
    <col min="5" max="5" width="18.2333333333333" style="23" customWidth="1"/>
    <col min="6" max="6" width="14.875" style="23" customWidth="1"/>
    <col min="7" max="7" width="10.875" style="23" customWidth="1"/>
    <col min="8" max="16384" width="8" style="23"/>
  </cols>
  <sheetData>
    <row r="1" ht="42" customHeight="1" spans="1:6">
      <c r="A1" s="24" t="s">
        <v>80</v>
      </c>
      <c r="B1" s="24"/>
      <c r="C1" s="24"/>
      <c r="D1" s="24"/>
      <c r="E1" s="24"/>
      <c r="F1" s="24"/>
    </row>
    <row r="2" ht="23.25" customHeight="1" spans="1:6">
      <c r="A2" s="25" t="s">
        <v>1</v>
      </c>
      <c r="B2" s="25"/>
      <c r="C2" s="25"/>
      <c r="D2" s="25"/>
      <c r="E2" s="25"/>
      <c r="F2" s="26"/>
    </row>
    <row r="3" s="23" customFormat="1" ht="26" customHeight="1" spans="1:6">
      <c r="A3" s="27" t="s">
        <v>7</v>
      </c>
      <c r="B3" s="27" t="s">
        <v>81</v>
      </c>
      <c r="C3" s="27" t="s">
        <v>9</v>
      </c>
      <c r="D3" s="27" t="s">
        <v>10</v>
      </c>
      <c r="E3" s="27" t="s">
        <v>82</v>
      </c>
      <c r="F3" s="27" t="s">
        <v>20</v>
      </c>
    </row>
    <row r="4" s="23" customFormat="1" ht="36" customHeight="1" spans="1:6">
      <c r="A4" s="28">
        <v>1</v>
      </c>
      <c r="B4" s="29" t="s">
        <v>83</v>
      </c>
      <c r="C4" s="30" t="s">
        <v>84</v>
      </c>
      <c r="D4" s="31" t="s">
        <v>85</v>
      </c>
      <c r="E4" s="29" t="s">
        <v>86</v>
      </c>
      <c r="F4" s="32"/>
    </row>
    <row r="5" s="23" customFormat="1" ht="36" customHeight="1" spans="1:6">
      <c r="A5" s="28">
        <v>2</v>
      </c>
      <c r="B5" s="29" t="s">
        <v>83</v>
      </c>
      <c r="C5" s="30" t="s">
        <v>87</v>
      </c>
      <c r="D5" s="31" t="s">
        <v>85</v>
      </c>
      <c r="E5" s="29" t="s">
        <v>86</v>
      </c>
      <c r="F5" s="32"/>
    </row>
    <row r="6" s="23" customFormat="1" ht="36" customHeight="1" spans="1:6">
      <c r="A6" s="28">
        <v>3</v>
      </c>
      <c r="B6" s="31" t="s">
        <v>83</v>
      </c>
      <c r="C6" s="33" t="s">
        <v>88</v>
      </c>
      <c r="D6" s="31" t="s">
        <v>85</v>
      </c>
      <c r="E6" s="29" t="s">
        <v>86</v>
      </c>
      <c r="F6" s="32"/>
    </row>
    <row r="7" s="23" customFormat="1" ht="36" customHeight="1" spans="1:6">
      <c r="A7" s="28">
        <v>4</v>
      </c>
      <c r="B7" s="29" t="s">
        <v>83</v>
      </c>
      <c r="C7" s="34" t="s">
        <v>89</v>
      </c>
      <c r="D7" s="31" t="s">
        <v>85</v>
      </c>
      <c r="E7" s="29" t="s">
        <v>86</v>
      </c>
      <c r="F7" s="32"/>
    </row>
    <row r="8" s="23" customFormat="1" ht="36" customHeight="1" spans="1:6">
      <c r="A8" s="28">
        <v>5</v>
      </c>
      <c r="B8" s="29" t="s">
        <v>90</v>
      </c>
      <c r="C8" s="34" t="s">
        <v>91</v>
      </c>
      <c r="D8" s="31" t="s">
        <v>85</v>
      </c>
      <c r="E8" s="29" t="s">
        <v>92</v>
      </c>
      <c r="F8" s="32"/>
    </row>
    <row r="9" s="23" customFormat="1" ht="36" customHeight="1" spans="1:6">
      <c r="A9" s="28">
        <v>6</v>
      </c>
      <c r="B9" s="31" t="s">
        <v>93</v>
      </c>
      <c r="C9" s="35" t="s">
        <v>94</v>
      </c>
      <c r="D9" s="31" t="s">
        <v>85</v>
      </c>
      <c r="E9" s="29" t="s">
        <v>92</v>
      </c>
      <c r="F9" s="32"/>
    </row>
    <row r="10" s="23" customFormat="1" ht="36" customHeight="1" spans="1:6">
      <c r="A10" s="28">
        <v>7</v>
      </c>
      <c r="B10" s="29" t="s">
        <v>95</v>
      </c>
      <c r="C10" s="35" t="s">
        <v>96</v>
      </c>
      <c r="D10" s="31" t="s">
        <v>97</v>
      </c>
      <c r="E10" s="29" t="s">
        <v>92</v>
      </c>
      <c r="F10" s="32"/>
    </row>
    <row r="11" s="23" customFormat="1" ht="36" customHeight="1" spans="1:6">
      <c r="A11" s="28">
        <v>8</v>
      </c>
      <c r="B11" s="36" t="s">
        <v>98</v>
      </c>
      <c r="C11" s="37" t="s">
        <v>99</v>
      </c>
      <c r="D11" s="31" t="s">
        <v>97</v>
      </c>
      <c r="E11" s="29" t="s">
        <v>92</v>
      </c>
      <c r="F11" s="32"/>
    </row>
    <row r="12" s="23" customFormat="1" ht="36" customHeight="1" spans="1:6">
      <c r="A12" s="28">
        <v>9</v>
      </c>
      <c r="B12" s="31" t="s">
        <v>100</v>
      </c>
      <c r="C12" s="33" t="s">
        <v>101</v>
      </c>
      <c r="D12" s="31" t="s">
        <v>97</v>
      </c>
      <c r="E12" s="29" t="s">
        <v>102</v>
      </c>
      <c r="F12" s="32"/>
    </row>
    <row r="13" s="23" customFormat="1" ht="36" customHeight="1" spans="1:6">
      <c r="A13" s="28">
        <v>10</v>
      </c>
      <c r="B13" s="29" t="s">
        <v>100</v>
      </c>
      <c r="C13" s="33" t="s">
        <v>103</v>
      </c>
      <c r="D13" s="31" t="s">
        <v>97</v>
      </c>
      <c r="E13" s="29" t="s">
        <v>102</v>
      </c>
      <c r="F13" s="32"/>
    </row>
    <row r="14" s="23" customFormat="1" ht="36" customHeight="1" spans="1:6">
      <c r="A14" s="28">
        <v>11</v>
      </c>
      <c r="B14" s="31" t="s">
        <v>100</v>
      </c>
      <c r="C14" s="33" t="s">
        <v>104</v>
      </c>
      <c r="D14" s="31" t="s">
        <v>97</v>
      </c>
      <c r="E14" s="29" t="s">
        <v>102</v>
      </c>
      <c r="F14" s="32"/>
    </row>
    <row r="15" s="23" customFormat="1" ht="27" spans="1:6">
      <c r="A15" s="28">
        <v>12</v>
      </c>
      <c r="B15" s="31" t="s">
        <v>105</v>
      </c>
      <c r="C15" s="38" t="s">
        <v>106</v>
      </c>
      <c r="D15" s="31" t="s">
        <v>85</v>
      </c>
      <c r="E15" s="29" t="s">
        <v>107</v>
      </c>
      <c r="F15" s="32"/>
    </row>
    <row r="16" s="23" customFormat="1" ht="27" spans="1:6">
      <c r="A16" s="28">
        <v>13</v>
      </c>
      <c r="B16" s="31" t="s">
        <v>108</v>
      </c>
      <c r="C16" s="38" t="s">
        <v>109</v>
      </c>
      <c r="D16" s="31" t="s">
        <v>85</v>
      </c>
      <c r="E16" s="29" t="s">
        <v>107</v>
      </c>
      <c r="F16" s="32"/>
    </row>
    <row r="17" s="23" customFormat="1" ht="54" spans="1:6">
      <c r="A17" s="28">
        <v>14</v>
      </c>
      <c r="B17" s="31" t="s">
        <v>110</v>
      </c>
      <c r="C17" s="35" t="s">
        <v>111</v>
      </c>
      <c r="D17" s="31" t="s">
        <v>85</v>
      </c>
      <c r="E17" s="29" t="s">
        <v>92</v>
      </c>
      <c r="F17" s="32"/>
    </row>
    <row r="18" s="23" customFormat="1" ht="54" spans="1:6">
      <c r="A18" s="28">
        <v>15</v>
      </c>
      <c r="B18" s="31" t="s">
        <v>110</v>
      </c>
      <c r="C18" s="30" t="s">
        <v>112</v>
      </c>
      <c r="D18" s="31" t="s">
        <v>85</v>
      </c>
      <c r="E18" s="29" t="s">
        <v>92</v>
      </c>
      <c r="F18" s="32"/>
    </row>
    <row r="19" s="23" customFormat="1" ht="27" spans="1:6">
      <c r="A19" s="28">
        <v>16</v>
      </c>
      <c r="B19" s="31" t="s">
        <v>113</v>
      </c>
      <c r="C19" s="35" t="s">
        <v>114</v>
      </c>
      <c r="D19" s="31" t="s">
        <v>85</v>
      </c>
      <c r="E19" s="29" t="s">
        <v>115</v>
      </c>
      <c r="F19" s="32" t="s">
        <v>116</v>
      </c>
    </row>
    <row r="20" s="23" customFormat="1" ht="27" spans="1:6">
      <c r="A20" s="28">
        <v>17</v>
      </c>
      <c r="B20" s="31" t="s">
        <v>113</v>
      </c>
      <c r="C20" s="35" t="s">
        <v>117</v>
      </c>
      <c r="D20" s="31" t="s">
        <v>85</v>
      </c>
      <c r="E20" s="29" t="s">
        <v>115</v>
      </c>
      <c r="F20" s="32" t="s">
        <v>116</v>
      </c>
    </row>
    <row r="21" s="23" customFormat="1" ht="54" spans="1:6">
      <c r="A21" s="28">
        <v>18</v>
      </c>
      <c r="B21" s="29" t="s">
        <v>118</v>
      </c>
      <c r="C21" s="33" t="s">
        <v>119</v>
      </c>
      <c r="D21" s="31" t="s">
        <v>85</v>
      </c>
      <c r="E21" s="29" t="s">
        <v>120</v>
      </c>
      <c r="F21" s="32"/>
    </row>
    <row r="22" s="23" customFormat="1" ht="27" spans="1:6">
      <c r="A22" s="28">
        <v>19</v>
      </c>
      <c r="B22" s="31" t="s">
        <v>121</v>
      </c>
      <c r="C22" s="35" t="s">
        <v>122</v>
      </c>
      <c r="D22" s="31" t="s">
        <v>85</v>
      </c>
      <c r="E22" s="29" t="s">
        <v>92</v>
      </c>
      <c r="F22" s="32"/>
    </row>
    <row r="23" s="23" customFormat="1" ht="40.5" spans="1:6">
      <c r="A23" s="28">
        <v>20</v>
      </c>
      <c r="B23" s="29" t="s">
        <v>123</v>
      </c>
      <c r="C23" s="33" t="s">
        <v>124</v>
      </c>
      <c r="D23" s="31" t="s">
        <v>85</v>
      </c>
      <c r="E23" s="29" t="s">
        <v>92</v>
      </c>
      <c r="F23" s="32"/>
    </row>
    <row r="24" s="23" customFormat="1" ht="27" spans="1:6">
      <c r="A24" s="28">
        <v>21</v>
      </c>
      <c r="B24" s="29" t="s">
        <v>123</v>
      </c>
      <c r="C24" s="33" t="s">
        <v>125</v>
      </c>
      <c r="D24" s="31" t="s">
        <v>85</v>
      </c>
      <c r="E24" s="29" t="s">
        <v>92</v>
      </c>
      <c r="F24" s="32"/>
    </row>
    <row r="25" s="23" customFormat="1" ht="28" customHeight="1" spans="1:6">
      <c r="A25" s="28">
        <v>22</v>
      </c>
      <c r="B25" s="31" t="s">
        <v>123</v>
      </c>
      <c r="C25" s="33" t="s">
        <v>126</v>
      </c>
      <c r="D25" s="31" t="s">
        <v>127</v>
      </c>
      <c r="E25" s="29" t="s">
        <v>92</v>
      </c>
      <c r="F25" s="32"/>
    </row>
    <row r="26" s="23" customFormat="1" ht="33" customHeight="1" spans="1:6">
      <c r="A26" s="28">
        <v>23</v>
      </c>
      <c r="B26" s="36" t="s">
        <v>128</v>
      </c>
      <c r="C26" s="37" t="s">
        <v>129</v>
      </c>
      <c r="D26" s="31" t="s">
        <v>63</v>
      </c>
      <c r="E26" s="29" t="s">
        <v>92</v>
      </c>
      <c r="F26" s="39"/>
    </row>
    <row r="27" s="23" customFormat="1" ht="40.5" spans="1:6">
      <c r="A27" s="28">
        <v>24</v>
      </c>
      <c r="B27" s="31" t="s">
        <v>130</v>
      </c>
      <c r="C27" s="40" t="s">
        <v>131</v>
      </c>
      <c r="D27" s="31" t="s">
        <v>85</v>
      </c>
      <c r="E27" s="29" t="s">
        <v>92</v>
      </c>
      <c r="F27" s="32"/>
    </row>
    <row r="28" s="23" customFormat="1" ht="27" spans="1:6">
      <c r="A28" s="28">
        <v>25</v>
      </c>
      <c r="B28" s="31" t="s">
        <v>132</v>
      </c>
      <c r="C28" s="40" t="s">
        <v>133</v>
      </c>
      <c r="D28" s="31" t="s">
        <v>85</v>
      </c>
      <c r="E28" s="29" t="s">
        <v>92</v>
      </c>
      <c r="F28" s="32"/>
    </row>
    <row r="29" s="23" customFormat="1" ht="62" customHeight="1" spans="1:6">
      <c r="A29" s="28">
        <v>26</v>
      </c>
      <c r="B29" s="31" t="s">
        <v>134</v>
      </c>
      <c r="C29" s="30" t="s">
        <v>135</v>
      </c>
      <c r="D29" s="31" t="s">
        <v>85</v>
      </c>
      <c r="E29" s="29" t="s">
        <v>115</v>
      </c>
      <c r="F29" s="32" t="s">
        <v>116</v>
      </c>
    </row>
    <row r="30" s="23" customFormat="1" ht="59" customHeight="1" spans="1:6">
      <c r="A30" s="28">
        <v>27</v>
      </c>
      <c r="B30" s="31" t="s">
        <v>134</v>
      </c>
      <c r="C30" s="33" t="s">
        <v>136</v>
      </c>
      <c r="D30" s="31" t="s">
        <v>85</v>
      </c>
      <c r="E30" s="29" t="s">
        <v>115</v>
      </c>
      <c r="F30" s="32"/>
    </row>
    <row r="31" s="23" customFormat="1" ht="27" spans="1:6">
      <c r="A31" s="28">
        <v>28</v>
      </c>
      <c r="B31" s="31" t="s">
        <v>137</v>
      </c>
      <c r="C31" s="35" t="s">
        <v>138</v>
      </c>
      <c r="D31" s="31" t="s">
        <v>127</v>
      </c>
      <c r="E31" s="29" t="s">
        <v>139</v>
      </c>
      <c r="F31" s="32"/>
    </row>
    <row r="32" s="23" customFormat="1" ht="27" spans="1:6">
      <c r="A32" s="28">
        <v>29</v>
      </c>
      <c r="B32" s="31" t="s">
        <v>137</v>
      </c>
      <c r="C32" s="35" t="s">
        <v>140</v>
      </c>
      <c r="D32" s="31" t="s">
        <v>127</v>
      </c>
      <c r="E32" s="29" t="s">
        <v>139</v>
      </c>
      <c r="F32" s="32"/>
    </row>
    <row r="33" s="23" customFormat="1" ht="27" spans="1:6">
      <c r="A33" s="28">
        <v>30</v>
      </c>
      <c r="B33" s="41" t="s">
        <v>141</v>
      </c>
      <c r="C33" s="35" t="s">
        <v>142</v>
      </c>
      <c r="D33" s="31" t="s">
        <v>127</v>
      </c>
      <c r="E33" s="29" t="s">
        <v>139</v>
      </c>
      <c r="F33" s="32"/>
    </row>
    <row r="34" s="23" customFormat="1" ht="27" spans="1:6">
      <c r="A34" s="28">
        <v>31</v>
      </c>
      <c r="B34" s="36" t="s">
        <v>143</v>
      </c>
      <c r="C34" s="37" t="s">
        <v>144</v>
      </c>
      <c r="D34" s="42" t="s">
        <v>85</v>
      </c>
      <c r="E34" s="29" t="s">
        <v>92</v>
      </c>
      <c r="F34" s="32"/>
    </row>
    <row r="35" s="23" customFormat="1" ht="27" spans="1:6">
      <c r="A35" s="28">
        <v>32</v>
      </c>
      <c r="B35" s="36" t="s">
        <v>145</v>
      </c>
      <c r="C35" s="37" t="s">
        <v>146</v>
      </c>
      <c r="D35" s="42" t="s">
        <v>85</v>
      </c>
      <c r="E35" s="29" t="s">
        <v>92</v>
      </c>
      <c r="F35" s="32"/>
    </row>
    <row r="36" s="23" customFormat="1" ht="27" spans="1:6">
      <c r="A36" s="28">
        <v>33</v>
      </c>
      <c r="B36" s="36" t="s">
        <v>147</v>
      </c>
      <c r="C36" s="37" t="s">
        <v>148</v>
      </c>
      <c r="D36" s="42" t="s">
        <v>85</v>
      </c>
      <c r="E36" s="29" t="s">
        <v>149</v>
      </c>
      <c r="F36" s="32"/>
    </row>
    <row r="37" s="23" customFormat="1" ht="40.5" spans="1:6">
      <c r="A37" s="28">
        <v>34</v>
      </c>
      <c r="B37" s="31" t="s">
        <v>150</v>
      </c>
      <c r="C37" s="34" t="s">
        <v>151</v>
      </c>
      <c r="D37" s="31" t="s">
        <v>85</v>
      </c>
      <c r="E37" s="29" t="s">
        <v>92</v>
      </c>
      <c r="F37" s="32"/>
    </row>
    <row r="38" s="23" customFormat="1" ht="54" spans="1:6">
      <c r="A38" s="28">
        <v>35</v>
      </c>
      <c r="B38" s="31" t="s">
        <v>152</v>
      </c>
      <c r="C38" s="35" t="s">
        <v>153</v>
      </c>
      <c r="D38" s="31" t="s">
        <v>85</v>
      </c>
      <c r="E38" s="29" t="s">
        <v>92</v>
      </c>
      <c r="F38" s="32"/>
    </row>
    <row r="39" s="23" customFormat="1" ht="27" spans="1:6">
      <c r="A39" s="28">
        <v>36</v>
      </c>
      <c r="B39" s="31" t="s">
        <v>154</v>
      </c>
      <c r="C39" s="40" t="s">
        <v>155</v>
      </c>
      <c r="D39" s="31" t="s">
        <v>85</v>
      </c>
      <c r="E39" s="29" t="s">
        <v>92</v>
      </c>
      <c r="F39" s="32"/>
    </row>
    <row r="40" s="23" customFormat="1" ht="27" spans="1:6">
      <c r="A40" s="28">
        <v>37</v>
      </c>
      <c r="B40" s="31" t="s">
        <v>154</v>
      </c>
      <c r="C40" s="35" t="s">
        <v>156</v>
      </c>
      <c r="D40" s="31" t="s">
        <v>85</v>
      </c>
      <c r="E40" s="29" t="s">
        <v>92</v>
      </c>
      <c r="F40" s="32"/>
    </row>
    <row r="41" s="23" customFormat="1" ht="27" spans="1:6">
      <c r="A41" s="28">
        <v>38</v>
      </c>
      <c r="B41" s="31" t="s">
        <v>154</v>
      </c>
      <c r="C41" s="40" t="s">
        <v>157</v>
      </c>
      <c r="D41" s="31" t="s">
        <v>85</v>
      </c>
      <c r="E41" s="29" t="s">
        <v>92</v>
      </c>
      <c r="F41" s="32"/>
    </row>
    <row r="42" s="23" customFormat="1" ht="40.5" spans="1:6">
      <c r="A42" s="28">
        <v>39</v>
      </c>
      <c r="B42" s="31" t="s">
        <v>152</v>
      </c>
      <c r="C42" s="33" t="s">
        <v>158</v>
      </c>
      <c r="D42" s="31" t="s">
        <v>85</v>
      </c>
      <c r="E42" s="29" t="s">
        <v>92</v>
      </c>
      <c r="F42" s="32"/>
    </row>
    <row r="43" s="23" customFormat="1" ht="40.5" spans="1:6">
      <c r="A43" s="28">
        <v>40</v>
      </c>
      <c r="B43" s="31" t="s">
        <v>159</v>
      </c>
      <c r="C43" s="35" t="s">
        <v>160</v>
      </c>
      <c r="D43" s="31" t="s">
        <v>85</v>
      </c>
      <c r="E43" s="29" t="s">
        <v>92</v>
      </c>
      <c r="F43" s="32"/>
    </row>
    <row r="44" s="23" customFormat="1" ht="37" customHeight="1" spans="1:6">
      <c r="A44" s="28">
        <v>41</v>
      </c>
      <c r="B44" s="31" t="s">
        <v>159</v>
      </c>
      <c r="C44" s="35" t="s">
        <v>161</v>
      </c>
      <c r="D44" s="31" t="s">
        <v>85</v>
      </c>
      <c r="E44" s="29" t="s">
        <v>92</v>
      </c>
      <c r="F44" s="32"/>
    </row>
    <row r="45" s="23" customFormat="1" ht="40.5" spans="1:6">
      <c r="A45" s="28">
        <v>42</v>
      </c>
      <c r="B45" s="31" t="s">
        <v>162</v>
      </c>
      <c r="C45" s="30" t="s">
        <v>163</v>
      </c>
      <c r="D45" s="31" t="s">
        <v>85</v>
      </c>
      <c r="E45" s="29" t="s">
        <v>92</v>
      </c>
      <c r="F45" s="32"/>
    </row>
    <row r="46" s="23" customFormat="1" ht="35" customHeight="1" spans="1:6">
      <c r="A46" s="28">
        <v>43</v>
      </c>
      <c r="B46" s="31" t="s">
        <v>164</v>
      </c>
      <c r="C46" s="30" t="s">
        <v>165</v>
      </c>
      <c r="D46" s="31" t="s">
        <v>85</v>
      </c>
      <c r="E46" s="43"/>
      <c r="F46" s="32"/>
    </row>
    <row r="47" s="23" customFormat="1" ht="27" spans="1:6">
      <c r="A47" s="28">
        <v>44</v>
      </c>
      <c r="B47" s="29" t="s">
        <v>166</v>
      </c>
      <c r="C47" s="35" t="s">
        <v>167</v>
      </c>
      <c r="D47" s="31" t="s">
        <v>85</v>
      </c>
      <c r="E47" s="29" t="s">
        <v>92</v>
      </c>
      <c r="F47" s="32"/>
    </row>
    <row r="48" s="23" customFormat="1" ht="27" spans="1:6">
      <c r="A48" s="28">
        <v>45</v>
      </c>
      <c r="B48" s="31" t="s">
        <v>168</v>
      </c>
      <c r="C48" s="33" t="s">
        <v>169</v>
      </c>
      <c r="D48" s="31" t="s">
        <v>85</v>
      </c>
      <c r="E48" s="29" t="s">
        <v>92</v>
      </c>
      <c r="F48" s="32"/>
    </row>
    <row r="49" s="23" customFormat="1" ht="40.5" spans="1:6">
      <c r="A49" s="28">
        <v>46</v>
      </c>
      <c r="B49" s="29" t="s">
        <v>170</v>
      </c>
      <c r="C49" s="33" t="s">
        <v>171</v>
      </c>
      <c r="D49" s="31" t="s">
        <v>85</v>
      </c>
      <c r="E49" s="29" t="s">
        <v>92</v>
      </c>
      <c r="F49" s="32"/>
    </row>
    <row r="50" s="23" customFormat="1" ht="27" customHeight="1" spans="1:6">
      <c r="A50" s="28">
        <v>47</v>
      </c>
      <c r="B50" s="31" t="s">
        <v>172</v>
      </c>
      <c r="C50" s="35" t="s">
        <v>173</v>
      </c>
      <c r="D50" s="31" t="s">
        <v>63</v>
      </c>
      <c r="E50" s="29" t="s">
        <v>92</v>
      </c>
      <c r="F50" s="32"/>
    </row>
    <row r="51" s="23" customFormat="1" ht="40.5" spans="1:6">
      <c r="A51" s="28">
        <v>48</v>
      </c>
      <c r="B51" s="31" t="s">
        <v>174</v>
      </c>
      <c r="C51" s="35" t="s">
        <v>175</v>
      </c>
      <c r="D51" s="31" t="s">
        <v>127</v>
      </c>
      <c r="E51" s="43"/>
      <c r="F51" s="32"/>
    </row>
    <row r="52" s="23" customFormat="1" ht="27" spans="1:6">
      <c r="A52" s="28">
        <v>49</v>
      </c>
      <c r="B52" s="31" t="s">
        <v>176</v>
      </c>
      <c r="C52" s="35" t="s">
        <v>177</v>
      </c>
      <c r="D52" s="31" t="s">
        <v>127</v>
      </c>
      <c r="E52" s="43"/>
      <c r="F52" s="32"/>
    </row>
    <row r="53" s="23" customFormat="1" ht="40.5" spans="1:6">
      <c r="A53" s="28">
        <v>50</v>
      </c>
      <c r="B53" s="31" t="s">
        <v>178</v>
      </c>
      <c r="C53" s="35" t="s">
        <v>179</v>
      </c>
      <c r="D53" s="31" t="s">
        <v>127</v>
      </c>
      <c r="E53" s="43"/>
      <c r="F53" s="32"/>
    </row>
    <row r="54" s="23" customFormat="1" ht="27" spans="1:6">
      <c r="A54" s="28">
        <v>51</v>
      </c>
      <c r="B54" s="31" t="s">
        <v>180</v>
      </c>
      <c r="C54" s="30" t="s">
        <v>181</v>
      </c>
      <c r="D54" s="31" t="s">
        <v>85</v>
      </c>
      <c r="E54" s="43"/>
      <c r="F54" s="32"/>
    </row>
    <row r="55" s="23" customFormat="1" ht="40.5" spans="1:6">
      <c r="A55" s="28">
        <v>52</v>
      </c>
      <c r="B55" s="42" t="s">
        <v>182</v>
      </c>
      <c r="C55" s="37" t="s">
        <v>183</v>
      </c>
      <c r="D55" s="31" t="s">
        <v>85</v>
      </c>
      <c r="E55" s="29" t="s">
        <v>92</v>
      </c>
      <c r="F55" s="32"/>
    </row>
    <row r="56" s="23" customFormat="1" ht="40.5" spans="1:6">
      <c r="A56" s="28">
        <v>53</v>
      </c>
      <c r="B56" s="31" t="s">
        <v>184</v>
      </c>
      <c r="C56" s="33" t="s">
        <v>185</v>
      </c>
      <c r="D56" s="31" t="s">
        <v>85</v>
      </c>
      <c r="E56" s="29" t="s">
        <v>139</v>
      </c>
      <c r="F56" s="32"/>
    </row>
    <row r="57" s="23" customFormat="1" ht="38" customHeight="1" spans="1:6">
      <c r="A57" s="28">
        <v>54</v>
      </c>
      <c r="B57" s="44" t="s">
        <v>186</v>
      </c>
      <c r="C57" s="45" t="s">
        <v>187</v>
      </c>
      <c r="D57" s="31" t="s">
        <v>63</v>
      </c>
      <c r="E57" s="43"/>
      <c r="F57" s="32"/>
    </row>
    <row r="58" s="23" customFormat="1" ht="28" customHeight="1" spans="1:6">
      <c r="A58" s="28">
        <v>55</v>
      </c>
      <c r="B58" s="44" t="s">
        <v>188</v>
      </c>
      <c r="C58" s="40" t="s">
        <v>189</v>
      </c>
      <c r="D58" s="42" t="s">
        <v>127</v>
      </c>
      <c r="E58" s="29" t="s">
        <v>92</v>
      </c>
      <c r="F58" s="32"/>
    </row>
    <row r="59" ht="28" customHeight="1" spans="1:6">
      <c r="A59" s="28">
        <v>56</v>
      </c>
      <c r="B59" s="44" t="s">
        <v>190</v>
      </c>
      <c r="C59" s="40" t="s">
        <v>191</v>
      </c>
      <c r="D59" s="42" t="s">
        <v>127</v>
      </c>
      <c r="E59" s="29" t="s">
        <v>92</v>
      </c>
      <c r="F59" s="46"/>
    </row>
    <row r="60" s="23" customFormat="1" ht="28" customHeight="1" spans="1:6">
      <c r="A60" s="28">
        <v>57</v>
      </c>
      <c r="B60" s="44" t="s">
        <v>192</v>
      </c>
      <c r="C60" s="40" t="s">
        <v>192</v>
      </c>
      <c r="D60" s="42" t="s">
        <v>85</v>
      </c>
      <c r="E60" s="29" t="s">
        <v>92</v>
      </c>
      <c r="F60" s="46"/>
    </row>
    <row r="61" s="23" customFormat="1" ht="28" customHeight="1" spans="1:6">
      <c r="A61" s="28">
        <v>58</v>
      </c>
      <c r="B61" s="44" t="s">
        <v>193</v>
      </c>
      <c r="C61" s="40" t="s">
        <v>194</v>
      </c>
      <c r="D61" s="42" t="s">
        <v>195</v>
      </c>
      <c r="E61" s="29" t="s">
        <v>92</v>
      </c>
      <c r="F61" s="46"/>
    </row>
    <row r="62" s="23" customFormat="1" ht="28" customHeight="1" spans="1:6">
      <c r="A62" s="28">
        <v>59</v>
      </c>
      <c r="B62" s="44" t="s">
        <v>196</v>
      </c>
      <c r="C62" s="40" t="s">
        <v>197</v>
      </c>
      <c r="D62" s="42" t="s">
        <v>85</v>
      </c>
      <c r="E62" s="29" t="s">
        <v>92</v>
      </c>
      <c r="F62" s="46"/>
    </row>
    <row r="63" ht="28" customHeight="1" spans="1:6">
      <c r="A63" s="28">
        <v>60</v>
      </c>
      <c r="B63" s="44" t="s">
        <v>198</v>
      </c>
      <c r="C63" s="40" t="s">
        <v>199</v>
      </c>
      <c r="D63" s="42" t="s">
        <v>85</v>
      </c>
      <c r="E63" s="29" t="s">
        <v>92</v>
      </c>
      <c r="F63" s="46"/>
    </row>
    <row r="64" ht="28" customHeight="1" spans="1:6">
      <c r="A64" s="28">
        <v>61</v>
      </c>
      <c r="B64" s="44" t="s">
        <v>200</v>
      </c>
      <c r="C64" s="40" t="s">
        <v>201</v>
      </c>
      <c r="D64" s="42" t="s">
        <v>85</v>
      </c>
      <c r="E64" s="29" t="s">
        <v>92</v>
      </c>
      <c r="F64" s="46"/>
    </row>
    <row r="65" ht="28" customHeight="1" spans="1:6">
      <c r="A65" s="28">
        <v>62</v>
      </c>
      <c r="B65" s="44" t="s">
        <v>200</v>
      </c>
      <c r="C65" s="40" t="s">
        <v>202</v>
      </c>
      <c r="D65" s="42" t="s">
        <v>85</v>
      </c>
      <c r="E65" s="29" t="s">
        <v>92</v>
      </c>
      <c r="F65" s="46"/>
    </row>
    <row r="66" ht="28" customHeight="1" spans="1:6">
      <c r="A66" s="28">
        <v>63</v>
      </c>
      <c r="B66" s="44" t="s">
        <v>203</v>
      </c>
      <c r="C66" s="40" t="s">
        <v>199</v>
      </c>
      <c r="D66" s="42" t="s">
        <v>85</v>
      </c>
      <c r="E66" s="29" t="s">
        <v>92</v>
      </c>
      <c r="F66" s="46"/>
    </row>
    <row r="67" ht="28" customHeight="1" spans="1:6">
      <c r="A67" s="28">
        <v>64</v>
      </c>
      <c r="B67" s="44" t="s">
        <v>203</v>
      </c>
      <c r="C67" s="40" t="s">
        <v>204</v>
      </c>
      <c r="D67" s="42" t="s">
        <v>85</v>
      </c>
      <c r="E67" s="29" t="s">
        <v>92</v>
      </c>
      <c r="F67" s="46"/>
    </row>
    <row r="68" ht="28" customHeight="1" spans="1:6">
      <c r="A68" s="28">
        <v>65</v>
      </c>
      <c r="B68" s="44" t="s">
        <v>205</v>
      </c>
      <c r="C68" s="40" t="s">
        <v>206</v>
      </c>
      <c r="D68" s="42" t="s">
        <v>85</v>
      </c>
      <c r="E68" s="29" t="s">
        <v>92</v>
      </c>
      <c r="F68" s="46"/>
    </row>
    <row r="69" ht="28" customHeight="1" spans="1:6">
      <c r="A69" s="28">
        <v>66</v>
      </c>
      <c r="B69" s="44" t="s">
        <v>205</v>
      </c>
      <c r="C69" s="40" t="s">
        <v>207</v>
      </c>
      <c r="D69" s="42" t="s">
        <v>85</v>
      </c>
      <c r="E69" s="29" t="s">
        <v>92</v>
      </c>
      <c r="F69" s="46"/>
    </row>
    <row r="70" ht="28" customHeight="1" spans="1:6">
      <c r="A70" s="28">
        <v>67</v>
      </c>
      <c r="B70" s="44" t="s">
        <v>208</v>
      </c>
      <c r="C70" s="40" t="s">
        <v>209</v>
      </c>
      <c r="D70" s="42" t="s">
        <v>85</v>
      </c>
      <c r="E70" s="29" t="s">
        <v>92</v>
      </c>
      <c r="F70" s="46"/>
    </row>
    <row r="71" ht="28" customHeight="1" spans="1:6">
      <c r="A71" s="28">
        <v>68</v>
      </c>
      <c r="B71" s="44" t="s">
        <v>208</v>
      </c>
      <c r="C71" s="40" t="s">
        <v>210</v>
      </c>
      <c r="D71" s="42" t="s">
        <v>85</v>
      </c>
      <c r="E71" s="29" t="s">
        <v>92</v>
      </c>
      <c r="F71" s="46"/>
    </row>
    <row r="72" ht="28" customHeight="1" spans="1:6">
      <c r="A72" s="28">
        <v>69</v>
      </c>
      <c r="B72" s="44" t="s">
        <v>211</v>
      </c>
      <c r="C72" s="40" t="s">
        <v>212</v>
      </c>
      <c r="D72" s="42" t="s">
        <v>85</v>
      </c>
      <c r="E72" s="29" t="s">
        <v>92</v>
      </c>
      <c r="F72" s="46"/>
    </row>
    <row r="73" ht="28" customHeight="1" spans="1:6">
      <c r="A73" s="28">
        <v>70</v>
      </c>
      <c r="B73" s="44" t="s">
        <v>211</v>
      </c>
      <c r="C73" s="40" t="s">
        <v>213</v>
      </c>
      <c r="D73" s="42" t="s">
        <v>85</v>
      </c>
      <c r="E73" s="29" t="s">
        <v>92</v>
      </c>
      <c r="F73" s="46"/>
    </row>
    <row r="74" ht="28" customHeight="1" spans="1:6">
      <c r="A74" s="28">
        <v>71</v>
      </c>
      <c r="B74" s="44" t="s">
        <v>211</v>
      </c>
      <c r="C74" s="40" t="s">
        <v>207</v>
      </c>
      <c r="D74" s="42" t="s">
        <v>85</v>
      </c>
      <c r="E74" s="29" t="s">
        <v>92</v>
      </c>
      <c r="F74" s="46"/>
    </row>
    <row r="75" ht="28" customHeight="1" spans="1:6">
      <c r="A75" s="28">
        <v>72</v>
      </c>
      <c r="B75" s="44" t="s">
        <v>214</v>
      </c>
      <c r="C75" s="40"/>
      <c r="D75" s="42" t="s">
        <v>215</v>
      </c>
      <c r="E75" s="29" t="s">
        <v>92</v>
      </c>
      <c r="F75" s="46"/>
    </row>
    <row r="76" ht="28" customHeight="1" spans="1:6">
      <c r="A76" s="28">
        <v>73</v>
      </c>
      <c r="B76" s="44" t="s">
        <v>216</v>
      </c>
      <c r="C76" s="40" t="s">
        <v>217</v>
      </c>
      <c r="D76" s="42" t="s">
        <v>215</v>
      </c>
      <c r="E76" s="29" t="s">
        <v>92</v>
      </c>
      <c r="F76" s="46"/>
    </row>
    <row r="77" ht="28" customHeight="1" spans="1:6">
      <c r="A77" s="28">
        <v>74</v>
      </c>
      <c r="B77" s="44" t="s">
        <v>216</v>
      </c>
      <c r="C77" s="40" t="s">
        <v>218</v>
      </c>
      <c r="D77" s="42" t="s">
        <v>215</v>
      </c>
      <c r="E77" s="29" t="s">
        <v>92</v>
      </c>
      <c r="F77" s="46"/>
    </row>
    <row r="78" ht="28" customHeight="1" spans="1:6">
      <c r="A78" s="28">
        <v>75</v>
      </c>
      <c r="B78" s="44" t="s">
        <v>219</v>
      </c>
      <c r="C78" s="40" t="s">
        <v>220</v>
      </c>
      <c r="D78" s="42" t="s">
        <v>215</v>
      </c>
      <c r="E78" s="29" t="s">
        <v>92</v>
      </c>
      <c r="F78" s="46"/>
    </row>
    <row r="79" ht="28" customHeight="1" spans="1:6">
      <c r="A79" s="28">
        <v>76</v>
      </c>
      <c r="B79" s="44" t="s">
        <v>219</v>
      </c>
      <c r="C79" s="40" t="s">
        <v>221</v>
      </c>
      <c r="D79" s="42" t="s">
        <v>215</v>
      </c>
      <c r="E79" s="29" t="s">
        <v>92</v>
      </c>
      <c r="F79" s="46"/>
    </row>
    <row r="80" ht="28" customHeight="1" spans="1:6">
      <c r="A80" s="28">
        <v>77</v>
      </c>
      <c r="B80" s="44" t="s">
        <v>222</v>
      </c>
      <c r="C80" s="40" t="s">
        <v>223</v>
      </c>
      <c r="D80" s="42" t="s">
        <v>215</v>
      </c>
      <c r="E80" s="29" t="s">
        <v>92</v>
      </c>
      <c r="F80" s="46"/>
    </row>
  </sheetData>
  <autoFilter ref="A1:F80"/>
  <mergeCells count="2">
    <mergeCell ref="A1:F1"/>
    <mergeCell ref="A2:D2"/>
  </mergeCells>
  <pageMargins left="0.55" right="0.0388888888888889" top="0.196527777777778" bottom="0.590277777777778" header="0.0777777777777778" footer="0.275"/>
  <pageSetup paperSize="9" scale="54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3"/>
  <sheetViews>
    <sheetView view="pageBreakPreview" zoomScaleNormal="100" zoomScaleSheetLayoutView="100" workbookViewId="0">
      <pane ySplit="3" topLeftCell="A37" activePane="bottomLeft" state="frozen"/>
      <selection/>
      <selection pane="bottomLeft" activeCell="F49" sqref="F49"/>
    </sheetView>
  </sheetViews>
  <sheetFormatPr defaultColWidth="9" defaultRowHeight="14.25"/>
  <cols>
    <col min="1" max="1" width="5.625" customWidth="1"/>
    <col min="2" max="2" width="36.375" customWidth="1"/>
    <col min="3" max="3" width="5.625" customWidth="1"/>
    <col min="4" max="4" width="7.75" customWidth="1"/>
    <col min="5" max="5" width="12" customWidth="1"/>
    <col min="6" max="6" width="14.875" customWidth="1"/>
    <col min="7" max="7" width="10" style="1" customWidth="1"/>
    <col min="8" max="10" width="12.625"/>
  </cols>
  <sheetData>
    <row r="1" ht="18.75" spans="1:7">
      <c r="A1" s="2" t="s">
        <v>224</v>
      </c>
      <c r="B1" s="2"/>
      <c r="C1" s="2"/>
      <c r="D1" s="2"/>
      <c r="E1" s="2"/>
      <c r="F1" s="2"/>
      <c r="G1" s="2"/>
    </row>
    <row r="2" ht="19.5" spans="1:7">
      <c r="A2" s="2"/>
      <c r="B2" s="2"/>
      <c r="C2" s="2"/>
      <c r="D2" s="2"/>
      <c r="E2" s="2"/>
      <c r="F2" s="3" t="s">
        <v>2</v>
      </c>
      <c r="G2" s="4"/>
    </row>
    <row r="3" ht="28.5" spans="1:7">
      <c r="A3" s="5" t="s">
        <v>7</v>
      </c>
      <c r="B3" s="6" t="s">
        <v>8</v>
      </c>
      <c r="C3" s="6" t="s">
        <v>10</v>
      </c>
      <c r="D3" s="6" t="s">
        <v>11</v>
      </c>
      <c r="E3" s="7" t="s">
        <v>225</v>
      </c>
      <c r="F3" s="7" t="s">
        <v>226</v>
      </c>
      <c r="G3" s="8" t="s">
        <v>20</v>
      </c>
    </row>
    <row r="4" spans="1:7">
      <c r="A4" s="9" t="s">
        <v>227</v>
      </c>
      <c r="B4" s="10" t="s">
        <v>228</v>
      </c>
      <c r="C4" s="11"/>
      <c r="D4" s="11"/>
      <c r="E4" s="11"/>
      <c r="F4" s="11"/>
      <c r="G4" s="12"/>
    </row>
    <row r="5" spans="1:7">
      <c r="A5" s="13">
        <v>1</v>
      </c>
      <c r="B5" s="14" t="s">
        <v>229</v>
      </c>
      <c r="C5" s="11" t="s">
        <v>127</v>
      </c>
      <c r="D5" s="15">
        <f>0.0067+0.0041*2*2/4</f>
        <v>0.0108</v>
      </c>
      <c r="E5" s="15">
        <v>319.78</v>
      </c>
      <c r="F5" s="15">
        <f>14365.6755*D5*1.05</f>
        <v>162.90676017</v>
      </c>
      <c r="G5" s="12"/>
    </row>
    <row r="6" spans="1:7">
      <c r="A6" s="13">
        <v>2</v>
      </c>
      <c r="B6" s="14" t="s">
        <v>230</v>
      </c>
      <c r="C6" s="11" t="s">
        <v>127</v>
      </c>
      <c r="D6" s="15"/>
      <c r="E6" s="15">
        <v>30</v>
      </c>
      <c r="F6" s="15">
        <f>(300+200)/10</f>
        <v>50</v>
      </c>
      <c r="G6" s="12"/>
    </row>
    <row r="7" spans="1:7">
      <c r="A7" s="13">
        <v>3</v>
      </c>
      <c r="B7" s="14" t="s">
        <v>231</v>
      </c>
      <c r="C7" s="11" t="s">
        <v>127</v>
      </c>
      <c r="D7" s="15"/>
      <c r="E7" s="15">
        <v>65</v>
      </c>
      <c r="F7" s="15">
        <f>(300+200)/5</f>
        <v>100</v>
      </c>
      <c r="G7" s="12"/>
    </row>
    <row r="8" spans="1:7">
      <c r="A8" s="13">
        <v>4</v>
      </c>
      <c r="B8" s="14" t="s">
        <v>232</v>
      </c>
      <c r="C8" s="11" t="s">
        <v>127</v>
      </c>
      <c r="D8" s="15">
        <f>(0.02*2+0.09)*39.25/1000</f>
        <v>0.0051025</v>
      </c>
      <c r="E8" s="15">
        <v>82.88</v>
      </c>
      <c r="F8" s="15">
        <f>D8*20000</f>
        <v>102.05</v>
      </c>
      <c r="G8" s="12"/>
    </row>
    <row r="9" spans="1:7">
      <c r="A9" s="13">
        <v>5</v>
      </c>
      <c r="B9" s="14" t="s">
        <v>233</v>
      </c>
      <c r="C9" s="11" t="s">
        <v>127</v>
      </c>
      <c r="D9" s="15"/>
      <c r="E9" s="15">
        <v>10</v>
      </c>
      <c r="F9" s="15">
        <f>(300+150)/10</f>
        <v>45</v>
      </c>
      <c r="G9" s="12"/>
    </row>
    <row r="10" spans="1:7">
      <c r="A10" s="13">
        <v>6</v>
      </c>
      <c r="B10" s="14" t="s">
        <v>234</v>
      </c>
      <c r="C10" s="11" t="s">
        <v>127</v>
      </c>
      <c r="D10" s="15">
        <f>24/4</f>
        <v>6</v>
      </c>
      <c r="E10" s="15">
        <v>27</v>
      </c>
      <c r="F10" s="15">
        <f>D10*27</f>
        <v>162</v>
      </c>
      <c r="G10" s="12"/>
    </row>
    <row r="11" spans="1:7">
      <c r="A11" s="13">
        <v>7</v>
      </c>
      <c r="B11" s="14" t="s">
        <v>235</v>
      </c>
      <c r="C11" s="11" t="s">
        <v>127</v>
      </c>
      <c r="D11" s="15">
        <v>6</v>
      </c>
      <c r="E11" s="15">
        <v>25</v>
      </c>
      <c r="F11" s="15">
        <f>D11*25</f>
        <v>150</v>
      </c>
      <c r="G11" s="12"/>
    </row>
    <row r="12" spans="1:7">
      <c r="A12" s="13">
        <v>8</v>
      </c>
      <c r="B12" s="14" t="s">
        <v>236</v>
      </c>
      <c r="C12" s="11" t="s">
        <v>127</v>
      </c>
      <c r="D12" s="15">
        <f>(0.15+1.087+0.173)*2/4*8.635/1000</f>
        <v>0.006087675</v>
      </c>
      <c r="E12" s="15">
        <v>79.05</v>
      </c>
      <c r="F12" s="15">
        <f>4319.35678675929*D12*1.05</f>
        <v>27.6095823431766</v>
      </c>
      <c r="G12" s="12"/>
    </row>
    <row r="13" spans="1:7">
      <c r="A13" s="13">
        <v>9</v>
      </c>
      <c r="B13" s="14" t="s">
        <v>237</v>
      </c>
      <c r="C13" s="11" t="s">
        <v>127</v>
      </c>
      <c r="D13" s="15"/>
      <c r="E13" s="15">
        <v>90</v>
      </c>
      <c r="F13" s="15">
        <f>(300+150)/5</f>
        <v>90</v>
      </c>
      <c r="G13" s="12"/>
    </row>
    <row r="14" spans="1:7">
      <c r="A14" s="13">
        <v>10</v>
      </c>
      <c r="B14" s="14" t="s">
        <v>238</v>
      </c>
      <c r="C14" s="11" t="s">
        <v>127</v>
      </c>
      <c r="D14" s="15"/>
      <c r="E14" s="15">
        <v>130</v>
      </c>
      <c r="F14" s="15">
        <f>(300+150)/10</f>
        <v>45</v>
      </c>
      <c r="G14" s="12"/>
    </row>
    <row r="15" spans="1:7">
      <c r="A15" s="13">
        <v>11</v>
      </c>
      <c r="B15" s="14" t="s">
        <v>239</v>
      </c>
      <c r="C15" s="11" t="s">
        <v>127</v>
      </c>
      <c r="D15" s="15"/>
      <c r="E15" s="15">
        <v>50</v>
      </c>
      <c r="F15" s="15">
        <f>(300+150)/8</f>
        <v>56.25</v>
      </c>
      <c r="G15" s="12"/>
    </row>
    <row r="16" spans="1:7">
      <c r="A16" s="13">
        <v>12</v>
      </c>
      <c r="B16" s="14" t="s">
        <v>240</v>
      </c>
      <c r="C16" s="11"/>
      <c r="D16" s="15"/>
      <c r="E16" s="15">
        <f>SUM(E5:E15)</f>
        <v>908.71</v>
      </c>
      <c r="F16" s="15">
        <f>SUM(F5:F15)</f>
        <v>990.816342513177</v>
      </c>
      <c r="G16" s="16">
        <f>1-E16/F16</f>
        <v>0.0828673680380732</v>
      </c>
    </row>
    <row r="17" spans="1:7">
      <c r="A17" s="9" t="s">
        <v>241</v>
      </c>
      <c r="B17" s="17" t="s">
        <v>242</v>
      </c>
      <c r="C17" s="11"/>
      <c r="D17" s="11"/>
      <c r="E17" s="11"/>
      <c r="F17" s="11"/>
      <c r="G17" s="12"/>
    </row>
    <row r="18" spans="1:7">
      <c r="A18" s="13">
        <v>1</v>
      </c>
      <c r="B18" s="14" t="s">
        <v>243</v>
      </c>
      <c r="C18" s="11" t="s">
        <v>127</v>
      </c>
      <c r="D18" s="15"/>
      <c r="E18" s="15">
        <v>188.18</v>
      </c>
      <c r="F18" s="15">
        <v>188.18</v>
      </c>
      <c r="G18" s="12"/>
    </row>
    <row r="19" spans="1:7">
      <c r="A19" s="13">
        <v>2</v>
      </c>
      <c r="B19" s="14" t="s">
        <v>244</v>
      </c>
      <c r="C19" s="11" t="s">
        <v>127</v>
      </c>
      <c r="D19" s="15"/>
      <c r="E19" s="15">
        <v>80</v>
      </c>
      <c r="F19" s="15">
        <v>80</v>
      </c>
      <c r="G19" s="12"/>
    </row>
    <row r="20" spans="1:7">
      <c r="A20" s="13">
        <v>3</v>
      </c>
      <c r="B20" s="14" t="s">
        <v>245</v>
      </c>
      <c r="C20" s="11" t="s">
        <v>127</v>
      </c>
      <c r="D20" s="15"/>
      <c r="E20" s="15">
        <v>71.65</v>
      </c>
      <c r="F20" s="15">
        <v>71.65</v>
      </c>
      <c r="G20" s="12"/>
    </row>
    <row r="21" spans="1:7">
      <c r="A21" s="13">
        <v>4</v>
      </c>
      <c r="B21" s="14" t="s">
        <v>246</v>
      </c>
      <c r="C21" s="11" t="s">
        <v>127</v>
      </c>
      <c r="D21" s="15"/>
      <c r="E21" s="15">
        <v>65</v>
      </c>
      <c r="F21" s="15">
        <v>65</v>
      </c>
      <c r="G21" s="12"/>
    </row>
    <row r="22" spans="1:7">
      <c r="A22" s="13">
        <v>5</v>
      </c>
      <c r="B22" s="14" t="s">
        <v>247</v>
      </c>
      <c r="C22" s="11" t="s">
        <v>127</v>
      </c>
      <c r="D22" s="15"/>
      <c r="E22" s="15">
        <v>82.88</v>
      </c>
      <c r="F22" s="15">
        <v>82.88</v>
      </c>
      <c r="G22" s="12"/>
    </row>
    <row r="23" spans="1:7">
      <c r="A23" s="13">
        <v>6</v>
      </c>
      <c r="B23" s="14" t="s">
        <v>248</v>
      </c>
      <c r="C23" s="11" t="s">
        <v>127</v>
      </c>
      <c r="D23" s="15"/>
      <c r="E23" s="15">
        <v>10</v>
      </c>
      <c r="F23" s="15">
        <v>10</v>
      </c>
      <c r="G23" s="12"/>
    </row>
    <row r="24" spans="1:7">
      <c r="A24" s="13">
        <v>7</v>
      </c>
      <c r="B24" s="14" t="s">
        <v>249</v>
      </c>
      <c r="C24" s="11" t="s">
        <v>127</v>
      </c>
      <c r="D24" s="15"/>
      <c r="E24" s="15">
        <v>110</v>
      </c>
      <c r="F24" s="15">
        <v>110</v>
      </c>
      <c r="G24" s="12"/>
    </row>
    <row r="25" spans="1:7">
      <c r="A25" s="13">
        <v>8</v>
      </c>
      <c r="B25" s="14" t="s">
        <v>250</v>
      </c>
      <c r="C25" s="11" t="s">
        <v>127</v>
      </c>
      <c r="D25" s="15"/>
      <c r="E25" s="15">
        <v>90</v>
      </c>
      <c r="F25" s="15">
        <v>90</v>
      </c>
      <c r="G25" s="12"/>
    </row>
    <row r="26" spans="1:7">
      <c r="A26" s="13">
        <v>9</v>
      </c>
      <c r="B26" s="14" t="s">
        <v>251</v>
      </c>
      <c r="C26" s="11" t="s">
        <v>127</v>
      </c>
      <c r="D26" s="15"/>
      <c r="E26" s="15">
        <v>130</v>
      </c>
      <c r="F26" s="15">
        <v>130</v>
      </c>
      <c r="G26" s="12"/>
    </row>
    <row r="27" spans="1:7">
      <c r="A27" s="13">
        <v>10</v>
      </c>
      <c r="B27" s="14" t="s">
        <v>252</v>
      </c>
      <c r="C27" s="11" t="s">
        <v>127</v>
      </c>
      <c r="D27" s="15"/>
      <c r="E27" s="15">
        <v>50</v>
      </c>
      <c r="F27" s="15">
        <v>50</v>
      </c>
      <c r="G27" s="12"/>
    </row>
    <row r="28" spans="1:7">
      <c r="A28" s="13"/>
      <c r="B28" s="14" t="s">
        <v>240</v>
      </c>
      <c r="C28" s="11"/>
      <c r="D28" s="15"/>
      <c r="E28" s="15">
        <f>SUM(E18:E27)</f>
        <v>877.71</v>
      </c>
      <c r="F28" s="15">
        <f>SUM(F18:F27)</f>
        <v>877.71</v>
      </c>
      <c r="G28" s="12"/>
    </row>
    <row r="29" spans="1:7">
      <c r="A29" s="9" t="s">
        <v>253</v>
      </c>
      <c r="B29" s="17" t="s">
        <v>254</v>
      </c>
      <c r="C29" s="11"/>
      <c r="D29" s="15"/>
      <c r="E29" s="15"/>
      <c r="F29" s="15"/>
      <c r="G29" s="12"/>
    </row>
    <row r="30" ht="28.5" spans="1:7">
      <c r="A30" s="13">
        <v>1</v>
      </c>
      <c r="B30" s="14" t="s">
        <v>255</v>
      </c>
      <c r="C30" s="11" t="s">
        <v>127</v>
      </c>
      <c r="D30" s="15"/>
      <c r="E30" s="15">
        <v>140</v>
      </c>
      <c r="F30" s="15">
        <v>140</v>
      </c>
      <c r="G30" s="12"/>
    </row>
    <row r="31" ht="28.5" spans="1:7">
      <c r="A31" s="13">
        <v>2</v>
      </c>
      <c r="B31" s="14" t="s">
        <v>256</v>
      </c>
      <c r="C31" s="11" t="s">
        <v>127</v>
      </c>
      <c r="D31" s="15"/>
      <c r="E31" s="15">
        <v>220</v>
      </c>
      <c r="F31" s="15">
        <v>220</v>
      </c>
      <c r="G31" s="12"/>
    </row>
    <row r="32" spans="1:7">
      <c r="A32" s="13">
        <v>3</v>
      </c>
      <c r="B32" s="14" t="s">
        <v>257</v>
      </c>
      <c r="C32" s="11" t="s">
        <v>127</v>
      </c>
      <c r="D32" s="15"/>
      <c r="E32" s="15">
        <v>188.18</v>
      </c>
      <c r="F32" s="15">
        <v>188.18</v>
      </c>
      <c r="G32" s="12"/>
    </row>
    <row r="33" spans="1:7">
      <c r="A33" s="13">
        <v>4</v>
      </c>
      <c r="B33" s="14" t="s">
        <v>258</v>
      </c>
      <c r="C33" s="11" t="s">
        <v>127</v>
      </c>
      <c r="D33" s="15"/>
      <c r="E33" s="15">
        <v>80</v>
      </c>
      <c r="F33" s="15">
        <v>80</v>
      </c>
      <c r="G33" s="12"/>
    </row>
    <row r="34" spans="1:7">
      <c r="A34" s="13">
        <v>5</v>
      </c>
      <c r="B34" s="14" t="s">
        <v>246</v>
      </c>
      <c r="C34" s="11" t="s">
        <v>127</v>
      </c>
      <c r="D34" s="15"/>
      <c r="E34" s="15">
        <v>65</v>
      </c>
      <c r="F34" s="15">
        <v>65</v>
      </c>
      <c r="G34" s="12"/>
    </row>
    <row r="35" spans="1:7">
      <c r="A35" s="13">
        <v>6</v>
      </c>
      <c r="B35" s="14" t="s">
        <v>247</v>
      </c>
      <c r="C35" s="11" t="s">
        <v>127</v>
      </c>
      <c r="D35" s="15"/>
      <c r="E35" s="15">
        <v>82.88</v>
      </c>
      <c r="F35" s="15">
        <v>82.88</v>
      </c>
      <c r="G35" s="12"/>
    </row>
    <row r="36" spans="1:7">
      <c r="A36" s="13">
        <v>7</v>
      </c>
      <c r="B36" s="14" t="s">
        <v>248</v>
      </c>
      <c r="C36" s="11" t="s">
        <v>127</v>
      </c>
      <c r="D36" s="15"/>
      <c r="E36" s="15">
        <v>10</v>
      </c>
      <c r="F36" s="15">
        <v>10</v>
      </c>
      <c r="G36" s="12"/>
    </row>
    <row r="37" spans="1:7">
      <c r="A37" s="13">
        <v>8</v>
      </c>
      <c r="B37" s="14" t="s">
        <v>250</v>
      </c>
      <c r="C37" s="11" t="s">
        <v>127</v>
      </c>
      <c r="D37" s="15"/>
      <c r="E37" s="15">
        <v>90</v>
      </c>
      <c r="F37" s="15">
        <v>90</v>
      </c>
      <c r="G37" s="12"/>
    </row>
    <row r="38" ht="21" customHeight="1" spans="1:7">
      <c r="A38" s="13">
        <v>9</v>
      </c>
      <c r="B38" s="14" t="s">
        <v>251</v>
      </c>
      <c r="C38" s="11" t="s">
        <v>127</v>
      </c>
      <c r="D38" s="15"/>
      <c r="E38" s="15">
        <v>130</v>
      </c>
      <c r="F38" s="15">
        <v>130</v>
      </c>
      <c r="G38" s="12"/>
    </row>
    <row r="39" ht="21" customHeight="1" spans="1:7">
      <c r="A39" s="13">
        <v>10</v>
      </c>
      <c r="B39" s="14" t="s">
        <v>252</v>
      </c>
      <c r="C39" s="11" t="s">
        <v>127</v>
      </c>
      <c r="D39" s="15"/>
      <c r="E39" s="15">
        <v>50</v>
      </c>
      <c r="F39" s="15">
        <v>50</v>
      </c>
      <c r="G39" s="12"/>
    </row>
    <row r="40" spans="1:7">
      <c r="A40" s="13">
        <v>11</v>
      </c>
      <c r="B40" s="14" t="s">
        <v>240</v>
      </c>
      <c r="C40" s="11"/>
      <c r="D40" s="15"/>
      <c r="E40" s="15">
        <f>SUM(E30:E39)</f>
        <v>1056.06</v>
      </c>
      <c r="F40" s="15">
        <f>SUM(F30:F39)</f>
        <v>1056.06</v>
      </c>
      <c r="G40" s="12"/>
    </row>
    <row r="41" spans="1:7">
      <c r="A41" s="9" t="s">
        <v>259</v>
      </c>
      <c r="B41" s="17" t="s">
        <v>260</v>
      </c>
      <c r="C41" s="11"/>
      <c r="D41" s="11"/>
      <c r="E41" s="11"/>
      <c r="F41" s="11"/>
      <c r="G41" s="12"/>
    </row>
    <row r="42" spans="1:7">
      <c r="A42" s="13">
        <v>1</v>
      </c>
      <c r="B42" s="14" t="s">
        <v>261</v>
      </c>
      <c r="C42" s="11"/>
      <c r="D42" s="15">
        <f>3.271/1000*6</f>
        <v>0.019626</v>
      </c>
      <c r="E42" s="15">
        <v>75</v>
      </c>
      <c r="F42" s="15">
        <f>4319.35678675929*D42*1.05</f>
        <v>89.0102811117847</v>
      </c>
      <c r="G42" s="12"/>
    </row>
    <row r="43" spans="1:7">
      <c r="A43" s="13">
        <v>2</v>
      </c>
      <c r="B43" s="14" t="s">
        <v>262</v>
      </c>
      <c r="C43" s="11"/>
      <c r="D43" s="15"/>
      <c r="E43" s="15">
        <v>55</v>
      </c>
      <c r="F43" s="15">
        <f>1200*D42*1.4</f>
        <v>32.97168</v>
      </c>
      <c r="G43" s="12"/>
    </row>
    <row r="44" spans="1:7">
      <c r="A44" s="13">
        <v>3</v>
      </c>
      <c r="B44" s="14" t="s">
        <v>263</v>
      </c>
      <c r="C44" s="11"/>
      <c r="D44" s="15"/>
      <c r="E44" s="15">
        <v>60</v>
      </c>
      <c r="F44" s="15">
        <f>(300+150)/10*2</f>
        <v>90</v>
      </c>
      <c r="G44" s="12"/>
    </row>
    <row r="45" spans="1:7">
      <c r="A45" s="13"/>
      <c r="B45" s="14" t="s">
        <v>240</v>
      </c>
      <c r="C45" s="11"/>
      <c r="D45" s="15"/>
      <c r="E45" s="15">
        <f>SUM(E42:E44)</f>
        <v>190</v>
      </c>
      <c r="F45" s="15">
        <f>SUM(F42:F44)</f>
        <v>211.981961111785</v>
      </c>
      <c r="G45" s="12"/>
    </row>
    <row r="46" spans="1:7">
      <c r="A46" s="9" t="s">
        <v>264</v>
      </c>
      <c r="B46" s="17" t="s">
        <v>265</v>
      </c>
      <c r="C46" s="11" t="s">
        <v>85</v>
      </c>
      <c r="D46" s="15"/>
      <c r="E46" s="15"/>
      <c r="F46" s="15"/>
      <c r="G46" s="12"/>
    </row>
    <row r="47" spans="1:7">
      <c r="A47" s="13">
        <v>1</v>
      </c>
      <c r="B47" s="14" t="s">
        <v>266</v>
      </c>
      <c r="C47" s="11" t="s">
        <v>85</v>
      </c>
      <c r="D47" s="15"/>
      <c r="E47" s="15">
        <v>164.68</v>
      </c>
      <c r="F47" s="15">
        <f>60*1.3</f>
        <v>78</v>
      </c>
      <c r="G47" s="12"/>
    </row>
    <row r="48" spans="1:7">
      <c r="A48" s="13">
        <v>2</v>
      </c>
      <c r="B48" s="14" t="s">
        <v>267</v>
      </c>
      <c r="C48" s="11" t="s">
        <v>85</v>
      </c>
      <c r="D48" s="15"/>
      <c r="E48" s="15">
        <v>223.18</v>
      </c>
      <c r="F48" s="15">
        <f>(500+500)/4.5</f>
        <v>222.222222222222</v>
      </c>
      <c r="G48" s="12"/>
    </row>
    <row r="49" spans="1:7">
      <c r="A49" s="13"/>
      <c r="B49" s="14" t="s">
        <v>240</v>
      </c>
      <c r="C49" s="11"/>
      <c r="D49" s="15"/>
      <c r="E49" s="15">
        <f>SUM(E47:E48)</f>
        <v>387.86</v>
      </c>
      <c r="F49" s="15">
        <f>SUM(F47:F48)</f>
        <v>300.222222222222</v>
      </c>
      <c r="G49" s="12"/>
    </row>
    <row r="50" spans="1:7">
      <c r="A50" s="9" t="s">
        <v>268</v>
      </c>
      <c r="B50" s="17" t="s">
        <v>269</v>
      </c>
      <c r="C50" s="11"/>
      <c r="D50" s="15"/>
      <c r="E50" s="15"/>
      <c r="F50" s="15"/>
      <c r="G50" s="12"/>
    </row>
    <row r="51" spans="1:7">
      <c r="A51" s="13">
        <v>1</v>
      </c>
      <c r="B51" s="14" t="s">
        <v>266</v>
      </c>
      <c r="C51" s="11" t="s">
        <v>85</v>
      </c>
      <c r="D51" s="15"/>
      <c r="E51" s="15">
        <v>3500</v>
      </c>
      <c r="F51" s="15">
        <f>15989.2755*0.3</f>
        <v>4796.78265</v>
      </c>
      <c r="G51" s="12"/>
    </row>
    <row r="52" spans="1:7">
      <c r="A52" s="13">
        <v>2</v>
      </c>
      <c r="B52" s="14" t="s">
        <v>267</v>
      </c>
      <c r="C52" s="11" t="s">
        <v>85</v>
      </c>
      <c r="D52" s="15"/>
      <c r="E52" s="15"/>
      <c r="F52" s="15">
        <v>500</v>
      </c>
      <c r="G52" s="12"/>
    </row>
    <row r="53" spans="1:7">
      <c r="A53" s="13">
        <v>3</v>
      </c>
      <c r="B53" s="14" t="s">
        <v>270</v>
      </c>
      <c r="C53" s="11" t="s">
        <v>85</v>
      </c>
      <c r="D53" s="15"/>
      <c r="E53" s="15"/>
      <c r="F53" s="15">
        <f>250*8</f>
        <v>2000</v>
      </c>
      <c r="G53" s="12"/>
    </row>
    <row r="54" spans="1:7">
      <c r="A54" s="13"/>
      <c r="B54" s="14" t="s">
        <v>240</v>
      </c>
      <c r="C54" s="11"/>
      <c r="D54" s="15"/>
      <c r="E54" s="15">
        <f>SUM(E51:E53)</f>
        <v>3500</v>
      </c>
      <c r="F54" s="15">
        <f>SUM(F51:F53)</f>
        <v>7296.78265</v>
      </c>
      <c r="G54" s="12"/>
    </row>
    <row r="55" spans="1:7">
      <c r="A55" s="13"/>
      <c r="B55" s="14"/>
      <c r="C55" s="11"/>
      <c r="D55" s="15"/>
      <c r="E55" s="15"/>
      <c r="F55" s="15"/>
      <c r="G55" s="12"/>
    </row>
    <row r="56" spans="1:7">
      <c r="A56" s="9" t="s">
        <v>271</v>
      </c>
      <c r="B56" s="17" t="s">
        <v>272</v>
      </c>
      <c r="C56" s="11" t="s">
        <v>85</v>
      </c>
      <c r="D56" s="15"/>
      <c r="E56" s="15"/>
      <c r="F56" s="15"/>
      <c r="G56" s="12"/>
    </row>
    <row r="57" spans="1:7">
      <c r="A57" s="13">
        <v>1</v>
      </c>
      <c r="B57" s="14" t="s">
        <v>273</v>
      </c>
      <c r="C57" s="11" t="s">
        <v>85</v>
      </c>
      <c r="D57" s="15"/>
      <c r="E57" s="15">
        <v>540</v>
      </c>
      <c r="F57" s="15">
        <f>14365.6755*0.03*1.2</f>
        <v>517.164318</v>
      </c>
      <c r="G57" s="12"/>
    </row>
    <row r="58" spans="1:7">
      <c r="A58" s="13">
        <v>2</v>
      </c>
      <c r="B58" s="14" t="s">
        <v>274</v>
      </c>
      <c r="C58" s="11"/>
      <c r="D58" s="15"/>
      <c r="E58" s="15">
        <v>80</v>
      </c>
      <c r="F58" s="15"/>
      <c r="G58" s="12"/>
    </row>
    <row r="59" spans="1:7">
      <c r="A59" s="13">
        <v>3</v>
      </c>
      <c r="B59" s="14" t="s">
        <v>275</v>
      </c>
      <c r="C59" s="11"/>
      <c r="D59" s="15"/>
      <c r="E59" s="15">
        <v>60</v>
      </c>
      <c r="F59" s="15">
        <f>(300+200)/5</f>
        <v>100</v>
      </c>
      <c r="G59" s="12"/>
    </row>
    <row r="60" spans="1:7">
      <c r="A60" s="13"/>
      <c r="B60" s="14" t="s">
        <v>240</v>
      </c>
      <c r="C60" s="11" t="s">
        <v>276</v>
      </c>
      <c r="D60" s="15"/>
      <c r="E60" s="15">
        <f>SUM(E57:E59)</f>
        <v>680</v>
      </c>
      <c r="F60" s="15">
        <f>SUM(F57:F59)</f>
        <v>617.164318</v>
      </c>
      <c r="G60" s="12"/>
    </row>
    <row r="61" spans="1:11">
      <c r="A61" s="9" t="s">
        <v>277</v>
      </c>
      <c r="B61" s="17" t="s">
        <v>278</v>
      </c>
      <c r="C61" s="11" t="s">
        <v>276</v>
      </c>
      <c r="D61" s="15"/>
      <c r="E61" s="15"/>
      <c r="F61" s="15"/>
      <c r="G61" s="12"/>
      <c r="K61">
        <f>1000/500</f>
        <v>2</v>
      </c>
    </row>
    <row r="62" spans="1:7">
      <c r="A62" s="13">
        <v>1</v>
      </c>
      <c r="B62" s="14" t="s">
        <v>279</v>
      </c>
      <c r="C62" s="11" t="s">
        <v>276</v>
      </c>
      <c r="D62" s="15"/>
      <c r="E62" s="15">
        <v>900</v>
      </c>
      <c r="F62" s="15">
        <f>14365.6755*0.05*1.15</f>
        <v>826.02634125</v>
      </c>
      <c r="G62" s="12"/>
    </row>
    <row r="63" spans="1:7">
      <c r="A63" s="13">
        <v>2</v>
      </c>
      <c r="B63" s="14" t="s">
        <v>280</v>
      </c>
      <c r="C63" s="11"/>
      <c r="D63" s="15">
        <f>2*0.05*0.05</f>
        <v>0.005</v>
      </c>
      <c r="E63" s="15">
        <v>225</v>
      </c>
      <c r="F63" s="15">
        <f>15989.2755*D63*1.02</f>
        <v>81.54530505</v>
      </c>
      <c r="G63" s="12"/>
    </row>
    <row r="64" spans="1:7">
      <c r="A64" s="13"/>
      <c r="B64" s="14" t="s">
        <v>281</v>
      </c>
      <c r="C64" s="11"/>
      <c r="D64" s="15">
        <f>(2/0.5)</f>
        <v>4</v>
      </c>
      <c r="E64" s="15"/>
      <c r="F64" s="15">
        <f>D64*10</f>
        <v>40</v>
      </c>
      <c r="G64" s="12"/>
    </row>
    <row r="65" spans="1:7">
      <c r="A65" s="13">
        <v>3</v>
      </c>
      <c r="B65" s="14" t="s">
        <v>282</v>
      </c>
      <c r="C65" s="11"/>
      <c r="D65" s="15"/>
      <c r="E65" s="15">
        <v>40</v>
      </c>
      <c r="F65" s="15">
        <f>(300+200)/10</f>
        <v>50</v>
      </c>
      <c r="G65" s="12"/>
    </row>
    <row r="66" spans="1:7">
      <c r="A66" s="13">
        <v>4</v>
      </c>
      <c r="B66" s="14" t="s">
        <v>283</v>
      </c>
      <c r="C66" s="11" t="s">
        <v>85</v>
      </c>
      <c r="D66" s="15"/>
      <c r="E66" s="15">
        <v>30</v>
      </c>
      <c r="F66" s="15">
        <f>40*2</f>
        <v>80</v>
      </c>
      <c r="G66" s="12"/>
    </row>
    <row r="67" spans="1:7">
      <c r="A67" s="13"/>
      <c r="B67" s="14" t="s">
        <v>284</v>
      </c>
      <c r="C67" s="11" t="s">
        <v>127</v>
      </c>
      <c r="D67" s="15"/>
      <c r="E67" s="15"/>
      <c r="F67" s="15">
        <f>(300+200)/40*2</f>
        <v>25</v>
      </c>
      <c r="G67" s="12"/>
    </row>
    <row r="68" spans="1:7">
      <c r="A68" s="13">
        <v>5</v>
      </c>
      <c r="B68" s="14" t="s">
        <v>240</v>
      </c>
      <c r="C68" s="11" t="s">
        <v>85</v>
      </c>
      <c r="D68" s="15"/>
      <c r="E68" s="15">
        <f>SUM(E62:E66)</f>
        <v>1195</v>
      </c>
      <c r="F68" s="15">
        <f>SUM(F62:F66)</f>
        <v>1077.5716463</v>
      </c>
      <c r="G68" s="12"/>
    </row>
    <row r="69" spans="1:7">
      <c r="A69" s="9" t="s">
        <v>285</v>
      </c>
      <c r="B69" s="17" t="s">
        <v>286</v>
      </c>
      <c r="C69" s="11"/>
      <c r="D69" s="15"/>
      <c r="E69" s="15"/>
      <c r="F69" s="15"/>
      <c r="G69" s="12"/>
    </row>
    <row r="70" spans="1:7">
      <c r="A70" s="13">
        <v>1</v>
      </c>
      <c r="B70" s="14" t="s">
        <v>287</v>
      </c>
      <c r="C70" s="11"/>
      <c r="D70" s="15"/>
      <c r="E70" s="15">
        <v>17.6</v>
      </c>
      <c r="F70" s="15">
        <v>17.6</v>
      </c>
      <c r="G70" s="12"/>
    </row>
    <row r="71" spans="1:7">
      <c r="A71" s="13">
        <v>2</v>
      </c>
      <c r="B71" s="14" t="s">
        <v>288</v>
      </c>
      <c r="C71" s="11" t="s">
        <v>85</v>
      </c>
      <c r="D71" s="15"/>
      <c r="E71" s="15">
        <v>16</v>
      </c>
      <c r="F71" s="15">
        <v>16</v>
      </c>
      <c r="G71" s="12"/>
    </row>
    <row r="72" spans="1:7">
      <c r="A72" s="13">
        <v>3</v>
      </c>
      <c r="B72" s="14" t="s">
        <v>289</v>
      </c>
      <c r="C72" s="11" t="s">
        <v>85</v>
      </c>
      <c r="D72" s="15"/>
      <c r="E72" s="15">
        <v>8</v>
      </c>
      <c r="F72" s="15">
        <v>8</v>
      </c>
      <c r="G72" s="12"/>
    </row>
    <row r="73" spans="1:7">
      <c r="A73" s="13">
        <v>4</v>
      </c>
      <c r="B73" s="14" t="s">
        <v>290</v>
      </c>
      <c r="C73" s="11"/>
      <c r="D73" s="15"/>
      <c r="E73" s="15">
        <v>1.6</v>
      </c>
      <c r="F73" s="15">
        <v>1.6</v>
      </c>
      <c r="G73" s="12"/>
    </row>
    <row r="74" spans="1:7">
      <c r="A74" s="13">
        <v>5</v>
      </c>
      <c r="B74" s="14" t="s">
        <v>291</v>
      </c>
      <c r="C74" s="11" t="s">
        <v>85</v>
      </c>
      <c r="D74" s="15"/>
      <c r="E74" s="15">
        <v>1.6</v>
      </c>
      <c r="F74" s="15">
        <v>1.6</v>
      </c>
      <c r="G74" s="12"/>
    </row>
    <row r="75" spans="1:7">
      <c r="A75" s="13">
        <v>6</v>
      </c>
      <c r="B75" s="14" t="s">
        <v>292</v>
      </c>
      <c r="C75" s="11" t="s">
        <v>85</v>
      </c>
      <c r="D75" s="15"/>
      <c r="E75" s="15">
        <v>6.4</v>
      </c>
      <c r="F75" s="15">
        <v>6.4</v>
      </c>
      <c r="G75" s="12"/>
    </row>
    <row r="76" spans="1:7">
      <c r="A76" s="13">
        <v>7</v>
      </c>
      <c r="B76" s="14" t="s">
        <v>293</v>
      </c>
      <c r="C76" s="11"/>
      <c r="D76" s="15"/>
      <c r="E76" s="15">
        <v>16</v>
      </c>
      <c r="F76" s="15">
        <v>16</v>
      </c>
      <c r="G76" s="12"/>
    </row>
    <row r="77" spans="1:7">
      <c r="A77" s="13">
        <v>8</v>
      </c>
      <c r="B77" s="14" t="s">
        <v>294</v>
      </c>
      <c r="C77" s="11"/>
      <c r="D77" s="15"/>
      <c r="E77" s="15">
        <v>8</v>
      </c>
      <c r="F77" s="15">
        <v>8</v>
      </c>
      <c r="G77" s="12"/>
    </row>
    <row r="78" ht="28.5" spans="1:11">
      <c r="A78" s="13">
        <v>9</v>
      </c>
      <c r="B78" s="14" t="s">
        <v>295</v>
      </c>
      <c r="C78" s="11"/>
      <c r="D78" s="15"/>
      <c r="E78" s="15">
        <v>72</v>
      </c>
      <c r="F78" s="15"/>
      <c r="G78" s="12"/>
      <c r="J78">
        <f>E79/0.1</f>
        <v>1472</v>
      </c>
      <c r="K78">
        <f>F79/0.1</f>
        <v>2250</v>
      </c>
    </row>
    <row r="79" spans="1:7">
      <c r="A79" s="13">
        <v>10</v>
      </c>
      <c r="B79" s="14" t="s">
        <v>240</v>
      </c>
      <c r="C79" s="11" t="s">
        <v>85</v>
      </c>
      <c r="D79" s="15"/>
      <c r="E79" s="15">
        <f>SUM(E70:E78)</f>
        <v>147.2</v>
      </c>
      <c r="F79" s="15">
        <f>1500*0.15</f>
        <v>225</v>
      </c>
      <c r="G79" s="12"/>
    </row>
    <row r="80" spans="1:7">
      <c r="A80" s="9" t="s">
        <v>296</v>
      </c>
      <c r="B80" s="17" t="s">
        <v>297</v>
      </c>
      <c r="C80" s="11" t="s">
        <v>85</v>
      </c>
      <c r="D80" s="15"/>
      <c r="E80" s="15"/>
      <c r="F80" s="15"/>
      <c r="G80" s="12"/>
    </row>
    <row r="81" spans="1:7">
      <c r="A81" s="13">
        <v>1</v>
      </c>
      <c r="B81" s="14" t="s">
        <v>298</v>
      </c>
      <c r="C81" s="11" t="s">
        <v>85</v>
      </c>
      <c r="D81" s="15"/>
      <c r="E81" s="15">
        <v>3625</v>
      </c>
      <c r="F81" s="15"/>
      <c r="G81" s="12"/>
    </row>
    <row r="82" spans="1:7">
      <c r="A82" s="13">
        <v>2</v>
      </c>
      <c r="B82" s="14" t="s">
        <v>299</v>
      </c>
      <c r="C82" s="11" t="s">
        <v>85</v>
      </c>
      <c r="D82" s="15"/>
      <c r="E82" s="15">
        <v>8</v>
      </c>
      <c r="F82" s="15"/>
      <c r="G82" s="12"/>
    </row>
    <row r="83" ht="15" spans="1:7">
      <c r="A83" s="18">
        <v>3</v>
      </c>
      <c r="B83" s="19" t="s">
        <v>240</v>
      </c>
      <c r="C83" s="20" t="s">
        <v>85</v>
      </c>
      <c r="D83" s="21"/>
      <c r="E83" s="21">
        <f>SUM(E81:E82)</f>
        <v>3633</v>
      </c>
      <c r="F83" s="21"/>
      <c r="G83" s="22"/>
    </row>
  </sheetData>
  <mergeCells count="3">
    <mergeCell ref="A1:G1"/>
    <mergeCell ref="F2:G2"/>
    <mergeCell ref="E51:E53"/>
  </mergeCells>
  <pageMargins left="0.196527777777778" right="0.0388888888888889" top="0.235416666666667" bottom="0.354166666666667" header="0.2354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信息价</vt:lpstr>
      <vt:lpstr> 无信息价 </vt:lpstr>
      <vt:lpstr>独立费明细表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落叶</cp:lastModifiedBy>
  <dcterms:created xsi:type="dcterms:W3CDTF">2019-05-27T05:55:00Z</dcterms:created>
  <dcterms:modified xsi:type="dcterms:W3CDTF">2019-10-24T03:25:15Z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KSOReadingLayout">
    <vt:bool>true</vt:bool>
  </property>
</Properties>
</file>